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ortal.collab.admin.ch/sites/810-bafu2/BAFU_ÖKIN/Freigegebene Dokumente/Update Relevanzmatrix/Excel Tool/"/>
    </mc:Choice>
  </mc:AlternateContent>
  <xr:revisionPtr revIDLastSave="0" documentId="13_ncr:20000001_{394DAA2B-5A8A-498D-814B-9B83D452B337}" xr6:coauthVersionLast="47" xr6:coauthVersionMax="47" xr10:uidLastSave="{00000000-0000-0000-0000-000000000000}"/>
  <bookViews>
    <workbookView xWindow="1140" yWindow="1140" windowWidth="36700" windowHeight="19580" xr2:uid="{DC69F2D6-591A-864D-B8C4-BC1890556912}"/>
  </bookViews>
  <sheets>
    <sheet name="Risiko-Relevanz-Analyse" sheetId="3" r:id="rId1"/>
  </sheets>
  <definedNames>
    <definedName name="_liste_spend_varianten">'Risiko-Relevanz-Analyse'!$AX$8:$AX$12</definedName>
    <definedName name="_spend_relevanz_matrix">'Risiko-Relevanz-Analyse'!$AM$8:$AP$12</definedName>
    <definedName name="_spend_relevanz_matrix_werte">'Risiko-Relevanz-Analyse'!$AR$8:$AV$12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36" i="3" l="1"/>
  <c r="AK35" i="3"/>
  <c r="AK34" i="3"/>
  <c r="AK33" i="3"/>
  <c r="AK32" i="3"/>
  <c r="AK31" i="3"/>
  <c r="AK30" i="3"/>
  <c r="AK29" i="3"/>
  <c r="AK28" i="3"/>
  <c r="AK27" i="3"/>
  <c r="AK26" i="3"/>
  <c r="AK25" i="3"/>
  <c r="AK24" i="3"/>
  <c r="AK23" i="3"/>
  <c r="AK22" i="3"/>
  <c r="AK21" i="3"/>
  <c r="AK20" i="3"/>
  <c r="AK19" i="3"/>
  <c r="AK18" i="3"/>
  <c r="AK17" i="3"/>
  <c r="AF39" i="3"/>
  <c r="AE39" i="3"/>
  <c r="AD39" i="3"/>
  <c r="AC39" i="3"/>
  <c r="AB39" i="3"/>
  <c r="W39" i="3"/>
  <c r="V39" i="3"/>
  <c r="U39" i="3"/>
  <c r="T39" i="3"/>
  <c r="S39" i="3"/>
  <c r="R39" i="3"/>
  <c r="AF38" i="3"/>
  <c r="AE38" i="3"/>
  <c r="AD38" i="3"/>
  <c r="AC38" i="3"/>
  <c r="AB38" i="3"/>
  <c r="Z38" i="3"/>
  <c r="Y38" i="3"/>
  <c r="X38" i="3"/>
  <c r="W38" i="3"/>
  <c r="V38" i="3"/>
  <c r="U38" i="3"/>
  <c r="T38" i="3"/>
  <c r="S38" i="3"/>
  <c r="R38" i="3"/>
  <c r="H18" i="3" a="1"/>
  <c r="H36" i="3" a="1"/>
  <c r="H35" i="3" a="1"/>
  <c r="H34" i="3" a="1"/>
  <c r="H33" i="3" a="1"/>
  <c r="H32" i="3" a="1"/>
  <c r="H31" i="3" a="1"/>
  <c r="H30" i="3" a="1"/>
  <c r="H29" i="3" a="1"/>
  <c r="H28" i="3" a="1"/>
  <c r="H27" i="3" a="1"/>
  <c r="H26" i="3" a="1"/>
  <c r="H25" i="3" a="1"/>
  <c r="H24" i="3" a="1"/>
  <c r="H23" i="3" a="1"/>
  <c r="H22" i="3" a="1"/>
  <c r="H21" i="3" a="1"/>
  <c r="H20" i="3" a="1"/>
  <c r="H19" i="3" a="1"/>
  <c r="H17" i="3" a="1"/>
  <c r="E12" i="3"/>
  <c r="C9" i="3" a="1"/>
  <c r="K33" i="3" l="1" a="1"/>
  <c r="K34" i="3" a="1"/>
  <c r="K29" i="3" a="1"/>
  <c r="K23" i="3" a="1"/>
  <c r="K22" i="3" a="1"/>
  <c r="K18" i="3" a="1"/>
  <c r="K20" i="3" a="1"/>
  <c r="K19" i="3" a="1"/>
  <c r="K27" i="3" a="1"/>
  <c r="K28" i="3" a="1"/>
  <c r="K24" i="3" a="1"/>
  <c r="K36" i="3" a="1"/>
  <c r="K25" i="3" a="1"/>
  <c r="K35" i="3" a="1"/>
  <c r="K21" i="3" a="1"/>
  <c r="K30" i="3" a="1"/>
  <c r="K31" i="3" a="1"/>
  <c r="K32" i="3" a="1"/>
  <c r="K26" i="3" a="1"/>
  <c r="K17" i="3" a="1"/>
  <c r="AH33" i="3"/>
  <c r="AH25" i="3"/>
  <c r="AH20" i="3"/>
  <c r="AH34" i="3"/>
  <c r="AH21" i="3"/>
  <c r="AH27" i="3"/>
  <c r="AG38" i="3"/>
  <c r="AH18" i="3"/>
  <c r="AH28" i="3"/>
  <c r="AG39" i="3"/>
  <c r="AH35" i="3"/>
  <c r="AH26" i="3"/>
  <c r="AH36" i="3"/>
  <c r="AH17" i="3"/>
  <c r="AH19" i="3"/>
  <c r="AH29" i="3"/>
  <c r="AH30" i="3"/>
  <c r="AH31" i="3"/>
  <c r="AH22" i="3"/>
  <c r="AH32" i="3"/>
  <c r="AH23" i="3"/>
  <c r="AH24" i="3"/>
  <c r="AI33" i="3" l="1"/>
  <c r="AI23" i="3"/>
  <c r="AI35" i="3"/>
  <c r="AI32" i="3"/>
  <c r="AI24" i="3"/>
  <c r="AI26" i="3"/>
  <c r="AI22" i="3"/>
  <c r="AI20" i="3"/>
  <c r="AI19" i="3"/>
  <c r="AI18" i="3"/>
  <c r="AI34" i="3"/>
  <c r="AI17" i="3"/>
  <c r="AI27" i="3"/>
  <c r="AI31" i="3"/>
  <c r="AI25" i="3"/>
  <c r="AI30" i="3"/>
  <c r="AI28" i="3"/>
  <c r="AI29" i="3"/>
  <c r="AI36" i="3"/>
  <c r="AI21" i="3"/>
  <c r="J33" i="3" l="1" a="1"/>
  <c r="L33" i="3" s="1"/>
  <c r="J23" i="3" a="1"/>
  <c r="L23" i="3" s="1"/>
  <c r="J35" i="3" a="1"/>
  <c r="L35" i="3" s="1"/>
  <c r="J32" i="3" a="1"/>
  <c r="L32" i="3" s="1"/>
  <c r="J24" i="3" a="1"/>
  <c r="L24" i="3" s="1"/>
  <c r="J26" i="3" a="1"/>
  <c r="L26" i="3" s="1"/>
  <c r="J22" i="3" a="1"/>
  <c r="L22" i="3" s="1"/>
  <c r="J20" i="3" a="1"/>
  <c r="L20" i="3" s="1"/>
  <c r="G20" i="3" s="1"/>
  <c r="J19" i="3" a="1"/>
  <c r="L19" i="3" s="1"/>
  <c r="J18" i="3" a="1"/>
  <c r="L18" i="3" s="1"/>
  <c r="J34" i="3" a="1"/>
  <c r="L34" i="3" s="1"/>
  <c r="J17" i="3" a="1"/>
  <c r="L17" i="3" s="1"/>
  <c r="J27" i="3" a="1"/>
  <c r="L27" i="3" s="1"/>
  <c r="J31" i="3" a="1"/>
  <c r="L31" i="3" s="1"/>
  <c r="J25" i="3" a="1"/>
  <c r="L25" i="3" s="1"/>
  <c r="J30" i="3" a="1"/>
  <c r="L30" i="3" s="1"/>
  <c r="J28" i="3" a="1"/>
  <c r="L28" i="3" s="1"/>
  <c r="J29" i="3" a="1"/>
  <c r="L29" i="3" s="1"/>
  <c r="J36" i="3" a="1"/>
  <c r="L36" i="3" s="1"/>
  <c r="J21" i="3" a="1"/>
  <c r="L21" i="3" s="1"/>
  <c r="K36" i="3"/>
  <c r="J36" i="3"/>
  <c r="H36" i="3"/>
  <c r="K35" i="3"/>
  <c r="J35" i="3"/>
  <c r="H35" i="3"/>
  <c r="K34" i="3"/>
  <c r="J34" i="3"/>
  <c r="H34" i="3"/>
  <c r="K33" i="3"/>
  <c r="J33" i="3"/>
  <c r="H33" i="3"/>
  <c r="K32" i="3"/>
  <c r="J32" i="3"/>
  <c r="H32" i="3"/>
  <c r="K31" i="3"/>
  <c r="J31" i="3"/>
  <c r="H31" i="3"/>
  <c r="K30" i="3"/>
  <c r="J30" i="3"/>
  <c r="H30" i="3"/>
  <c r="K29" i="3"/>
  <c r="J29" i="3"/>
  <c r="H29" i="3"/>
  <c r="K28" i="3"/>
  <c r="J28" i="3"/>
  <c r="H28" i="3"/>
  <c r="K27" i="3"/>
  <c r="J27" i="3"/>
  <c r="H27" i="3"/>
  <c r="K26" i="3"/>
  <c r="J26" i="3"/>
  <c r="H26" i="3"/>
  <c r="K25" i="3"/>
  <c r="J25" i="3"/>
  <c r="H25" i="3"/>
  <c r="K24" i="3"/>
  <c r="J24" i="3"/>
  <c r="H24" i="3"/>
  <c r="K23" i="3"/>
  <c r="J23" i="3"/>
  <c r="H23" i="3"/>
  <c r="K22" i="3"/>
  <c r="J22" i="3"/>
  <c r="H22" i="3"/>
  <c r="K21" i="3"/>
  <c r="J21" i="3"/>
  <c r="H21" i="3"/>
  <c r="K20" i="3"/>
  <c r="J20" i="3"/>
  <c r="H20" i="3"/>
  <c r="K19" i="3"/>
  <c r="J19" i="3"/>
  <c r="H19" i="3"/>
  <c r="K18" i="3"/>
  <c r="J18" i="3"/>
  <c r="H18" i="3"/>
  <c r="K17" i="3"/>
  <c r="J17" i="3"/>
  <c r="H17" i="3"/>
  <c r="C9" i="3"/>
  <c r="G33" i="3" l="1"/>
  <c r="G28" i="3"/>
  <c r="G19" i="3"/>
  <c r="G25" i="3"/>
  <c r="G22" i="3"/>
  <c r="G30" i="3"/>
  <c r="G31" i="3"/>
  <c r="G26" i="3"/>
  <c r="G27" i="3"/>
  <c r="G24" i="3"/>
  <c r="G21" i="3"/>
  <c r="G17" i="3"/>
  <c r="G32" i="3"/>
  <c r="G36" i="3"/>
  <c r="G34" i="3"/>
  <c r="G35" i="3"/>
  <c r="G29" i="3"/>
  <c r="G18" i="3"/>
  <c r="G23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<sst xmlns="http://schemas.openxmlformats.org/spreadsheetml/2006/main" count="204" uniqueCount="144">
  <si>
    <t>Klima</t>
  </si>
  <si>
    <t>Boden</t>
  </si>
  <si>
    <t>Luft</t>
  </si>
  <si>
    <t>Wasser</t>
  </si>
  <si>
    <t>Abiotische Rohstoffe</t>
  </si>
  <si>
    <t>Langlebigkeit</t>
  </si>
  <si>
    <t>Kreislauffähigkeit</t>
  </si>
  <si>
    <t>Kinderarbeit</t>
  </si>
  <si>
    <t>Zwangsarbeit</t>
  </si>
  <si>
    <t>Arbeitssicherheit</t>
  </si>
  <si>
    <t>Nr.</t>
  </si>
  <si>
    <t>Papier, Karton und Hygienepapier</t>
  </si>
  <si>
    <t>Informatik, Telekommunikationsmittel 
und elektronische Geräte</t>
  </si>
  <si>
    <t>Reinigungsmittel, Seifen-, Hand- und Körperpflegemittel und Chemikalien</t>
  </si>
  <si>
    <t>Lebensmittel, Getränke und Gastronomiedienstleistungen</t>
  </si>
  <si>
    <t>Textilien (Bekleidung, Heimtextilien und technische Textilien)</t>
  </si>
  <si>
    <t>Medizinisches Verbrauchsmaterial</t>
  </si>
  <si>
    <t>Facility Management und Grünpflege (Reparatur- und Unterhalts-Dienstleistungen, Gebäudeunterhalt)</t>
  </si>
  <si>
    <t>Logis und Hotelleistungen
exkl. Verpflegung</t>
  </si>
  <si>
    <t>IT-Dienstleistungen und Software</t>
  </si>
  <si>
    <t>Transportdienstleistungen (Personen- und Gütertransporte)</t>
  </si>
  <si>
    <t>Strom</t>
  </si>
  <si>
    <t>Erneuerbare Energie-Technologien, Batterien und Speicher</t>
  </si>
  <si>
    <t>Fossile Brenn- und Treibstoffe</t>
  </si>
  <si>
    <t>Nutzfahrzeuge, Personenwagen, Zweiräder (inkl. Elektrofahrzeuge)</t>
  </si>
  <si>
    <t>Dienstleistungen</t>
  </si>
  <si>
    <t>Energie und Fahrzeuge</t>
  </si>
  <si>
    <t>Büro- und Raumausstattung</t>
  </si>
  <si>
    <t>Beleuchtung Innen- und Aussenbereich</t>
  </si>
  <si>
    <t>Elektrische Geräte für Haushalt und Garten</t>
  </si>
  <si>
    <t>Geräte für Medizin und Forschung</t>
  </si>
  <si>
    <t>Ausstattung &amp; Geräte</t>
  </si>
  <si>
    <t>Verbrauchsgüter &amp; Textilien</t>
  </si>
  <si>
    <t>Allgemeine Dienstleistungen 
inkl. Marketing und Kommunikation</t>
  </si>
  <si>
    <t>Sehr hoch</t>
  </si>
  <si>
    <t>Schritt 1):</t>
  </si>
  <si>
    <t xml:space="preserve">Schritt 2): </t>
  </si>
  <si>
    <t>Hoch</t>
  </si>
  <si>
    <t>Mittel</t>
  </si>
  <si>
    <t>Tief</t>
  </si>
  <si>
    <t>Variante 1</t>
  </si>
  <si>
    <t>Variante 2</t>
  </si>
  <si>
    <t>Variante 3</t>
  </si>
  <si>
    <t>&gt; 20 Mio</t>
  </si>
  <si>
    <t>&gt; 50 Mio</t>
  </si>
  <si>
    <t>&gt; 1 Mio</t>
  </si>
  <si>
    <t>&gt; 2 Mio</t>
  </si>
  <si>
    <t>&gt; 5 Mio</t>
  </si>
  <si>
    <t>&gt; 0.25 Mio</t>
  </si>
  <si>
    <t>&gt; 0.5 Mio</t>
  </si>
  <si>
    <t>&lt; 0.25 Mio</t>
  </si>
  <si>
    <t>&lt; 0.5 Mio</t>
  </si>
  <si>
    <t>&lt; 1 Mio</t>
  </si>
  <si>
    <t>Spend-Relevanz Matrix</t>
  </si>
  <si>
    <t>benutzerdefiniert</t>
  </si>
  <si>
    <t>bitte auswählen:</t>
  </si>
  <si>
    <t>Werte</t>
  </si>
  <si>
    <t>&gt;</t>
  </si>
  <si>
    <t>&lt;</t>
  </si>
  <si>
    <t>1;1</t>
  </si>
  <si>
    <t>1;2</t>
  </si>
  <si>
    <t>1;3</t>
  </si>
  <si>
    <t>1;4</t>
  </si>
  <si>
    <t>2;1</t>
  </si>
  <si>
    <t>2;2</t>
  </si>
  <si>
    <t>2;3</t>
  </si>
  <si>
    <t>2;4</t>
  </si>
  <si>
    <t>3;1</t>
  </si>
  <si>
    <t>3;2</t>
  </si>
  <si>
    <t>3;3</t>
  </si>
  <si>
    <t>3;4</t>
  </si>
  <si>
    <t>4;1</t>
  </si>
  <si>
    <t>4;2</t>
  </si>
  <si>
    <t>4;3</t>
  </si>
  <si>
    <t>4;4</t>
  </si>
  <si>
    <t>Nachhaltigkeitsthemen mit hoher Relevanz*</t>
  </si>
  <si>
    <t>Umweltthemen</t>
  </si>
  <si>
    <t>Soziale Themen</t>
  </si>
  <si>
    <t>Lebenszyklusthemen</t>
  </si>
  <si>
    <t>Klima
Biodiversität</t>
  </si>
  <si>
    <t/>
  </si>
  <si>
    <t>Wasser
Boden</t>
  </si>
  <si>
    <t>Klima
Abiotische Rohstoffe</t>
  </si>
  <si>
    <t>Reparierbarkeit
Kreislauffähigkeit</t>
  </si>
  <si>
    <t>Klima
Luft
Abiotische Rohstoffe</t>
  </si>
  <si>
    <t>Vereinigungsfreiheit
Diskriminierung</t>
  </si>
  <si>
    <t>Kinderarbeit
Zwangsarbeit
Vereinigungsfreiheit
Arbeitssicherheit</t>
  </si>
  <si>
    <t>Langlebigkeit
Reparierbarkeit
Kreislauffähigkeit</t>
  </si>
  <si>
    <t>Kinderarbeit
Vereinigungsfreiheit
Diskriminierung
Arbeitssicherheit</t>
  </si>
  <si>
    <t>Langlebigkeit
Reparierbarkeit</t>
  </si>
  <si>
    <t>Vereinigungsfreiheit
Arbeitssicherheit</t>
  </si>
  <si>
    <t>BAFU Relevanzmatrix: Tool zur Risiko-Relevanz-Analyse</t>
  </si>
  <si>
    <t>geringe Relevanz</t>
  </si>
  <si>
    <t>mittlere Relevanz</t>
  </si>
  <si>
    <t>hohe Relevanz</t>
  </si>
  <si>
    <t>sehr hohe Relevanz</t>
  </si>
  <si>
    <t>Risiko-Relevanz 
gesamt</t>
  </si>
  <si>
    <t>Bio-diversität</t>
  </si>
  <si>
    <t>Abiotische 
Rohstoffe</t>
  </si>
  <si>
    <t>Lang-lebigkeit</t>
  </si>
  <si>
    <t>Reparier-barkeit</t>
  </si>
  <si>
    <t>Kreislauf-fähigkeit</t>
  </si>
  <si>
    <t>LCC Anwend-barkeit</t>
  </si>
  <si>
    <t>Zwangs-arbeit</t>
  </si>
  <si>
    <t>Vereinigungs-freiheit</t>
  </si>
  <si>
    <t>Arbeits-sicherheit</t>
  </si>
  <si>
    <t>Diskrimi-nierung</t>
  </si>
  <si>
    <t>*    basierend auf BAFU Relevanzmatrix</t>
  </si>
  <si>
    <t>** basierend auf THG Berechnungstool</t>
  </si>
  <si>
    <t xml:space="preserve">Schritt 3): </t>
  </si>
  <si>
    <r>
      <rPr>
        <b/>
        <sz val="12"/>
        <color theme="1"/>
        <rFont val="Aptos Narrow"/>
        <scheme val="minor"/>
      </rPr>
      <t xml:space="preserve">Gewichtung 2: 
</t>
    </r>
    <r>
      <rPr>
        <sz val="12"/>
        <color theme="1"/>
        <rFont val="Aptos Narrow"/>
        <scheme val="minor"/>
      </rPr>
      <t>50% Umwelt / 
50% soziale Kriterien</t>
    </r>
  </si>
  <si>
    <r>
      <t xml:space="preserve">Bezeichnung Warengruppe
</t>
    </r>
    <r>
      <rPr>
        <sz val="11"/>
        <color theme="1"/>
        <rFont val="Aptos Narrow (Textkörper)"/>
      </rPr>
      <t>Beschreibungen der Warengruppen sind im PDF der Relevanzmatrix enthalten</t>
    </r>
  </si>
  <si>
    <t>Für die Relevanz einer Warengruppe (abhängig vom gesamten Beschaffungsvolumen) können die Schwellenwerte für die Relevanz einer Warengruppe mittels vorgefertigter Listen (Dropdown Zelle E7) oder benutzerdefinierten Einträgen (Zellen E9:E11, Auswahl "benutzerdefiniert in Zelle E7) eingestellt werden</t>
  </si>
  <si>
    <t>benutzerdefiniert:</t>
  </si>
  <si>
    <t>Feld zum bearbeiten</t>
  </si>
  <si>
    <t>Basisbewertung</t>
  </si>
  <si>
    <t>BAFU THG Punkte**</t>
  </si>
  <si>
    <t>Hilfsspalten 
BAFU Punkte RM</t>
  </si>
  <si>
    <t>Gewichtete RM Punkte</t>
  </si>
  <si>
    <t>z-normierte RM Punkte</t>
  </si>
  <si>
    <t>Hilfsspalten 
BAFU THG Punkte</t>
  </si>
  <si>
    <t>z-normierte BAFU Punkte</t>
  </si>
  <si>
    <t>Nachhaltigkeitspunkte
(RM + THG kombiniert)</t>
  </si>
  <si>
    <t>Zuordnung Nachhaltigkeitspunkte</t>
  </si>
  <si>
    <t>Kombination 
BAFU Punkte RM + 
BAFU THG Punkte</t>
  </si>
  <si>
    <t>Punkte</t>
  </si>
  <si>
    <t>Dropdowns</t>
  </si>
  <si>
    <t>Beschaffungs-volumen (Mio CHF)</t>
  </si>
  <si>
    <t>Finales Ergebnis basierend auf Beschaffungsvolumen</t>
  </si>
  <si>
    <t>Volumenbewertung</t>
  </si>
  <si>
    <t>BAFU RM Punkte*</t>
  </si>
  <si>
    <t>BAFU Punkte</t>
  </si>
  <si>
    <t>Erneuerbare Brenn- und Treibstoffe</t>
  </si>
  <si>
    <t>Relevanzmatrix Punkte nach Aspekt</t>
  </si>
  <si>
    <t>Umwelt</t>
  </si>
  <si>
    <t>Kreislaufwirtschaft</t>
  </si>
  <si>
    <t>Soziales</t>
  </si>
  <si>
    <t>Version 1.4 August 2026</t>
  </si>
  <si>
    <t>Auswahl Liste für Beschaffungsvolumen:</t>
  </si>
  <si>
    <t>Berücksichtigung Kreislaufwirtschaft in BAFU Punkte RM</t>
  </si>
  <si>
    <t>optional: Gewichtung einzelner Aspekte in Zellen R38:AF39 sowie Berücksichtigung Kreislaufwirtschaft in Zellen AG17:36 anpassen</t>
  </si>
  <si>
    <t>Bei der Ermittlung der Relevanzmatrix Punkte pro Warengruppe in Spalte AH wird Gewichtung 1 verwendet, falls Kreislaufwirtschaft berücksichtigt werden soll (Warengruppen mit Eintrag "1" in Spalte AG). Falls Kreislaufwirtschaft nicht berücksichtigt werden soll (bspw. bei Kategorie 8 / Lebensmittel, Getränke und Gastronomiedienstleistungen) wird Gewichtung 2 verwendet.</t>
  </si>
  <si>
    <r>
      <rPr>
        <b/>
        <sz val="12"/>
        <color theme="1"/>
        <rFont val="Aptos Narrow"/>
        <scheme val="minor"/>
      </rPr>
      <t>Gewichtung 1:</t>
    </r>
    <r>
      <rPr>
        <sz val="12"/>
        <color theme="1"/>
        <rFont val="Aptos Narrow"/>
        <scheme val="minor"/>
      </rPr>
      <t xml:space="preserve"> P38
45% Umwelt / 
10% KLW / 
45% soziale Kriterien</t>
    </r>
  </si>
  <si>
    <t>Das Beschaffungsvolumen der eigenen Warengruppen (z. B. CPV, CPC, ECLASS, UNSPSC) ist den Warengruppen der Relevanzmatrix zuzuordnen und anschliessend in die blau markierten Zellen (F17:F36) der Matrix einzutragen.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</si>
</sst>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* #,##0.00000_ ;_ * \-#,##0.00000_ ;_ * &quot;-&quot;??_ ;_ @_ "/>
    <numFmt numFmtId="165" formatCode="_ * #,##0.0000_ ;_ * \-#,##0.0000_ ;_ * &quot;-&quot;??_ ;_ @_ "/>
    <numFmt numFmtId="166" formatCode="_ * #,##0.000000_ ;_ * \-#,##0.000000_ ;_ * &quot;-&quot;??_ ;_ @_ "/>
  </numFmts>
  <fonts count="12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8"/>
      <color theme="3"/>
      <name val="Aptos Display"/>
      <family val="2"/>
      <scheme val="major"/>
    </font>
    <font>
      <sz val="12"/>
      <color theme="1"/>
      <name val="Aptos Narrow"/>
      <scheme val="minor"/>
    </font>
    <font>
      <i/>
      <sz val="12"/>
      <color theme="1"/>
      <name val="Aptos Narrow"/>
      <scheme val="minor"/>
    </font>
    <font>
      <b/>
      <sz val="12"/>
      <color theme="2" tint="-0.499984740745262"/>
      <name val="Aptos Narrow"/>
      <scheme val="minor"/>
    </font>
    <font>
      <sz val="12"/>
      <color theme="2" tint="-0.499984740745262"/>
      <name val="Aptos Narrow"/>
      <scheme val="minor"/>
    </font>
    <font>
      <sz val="12"/>
      <color theme="1" tint="0.499984740745262"/>
      <name val="Aptos Narrow"/>
      <scheme val="minor"/>
    </font>
    <font>
      <sz val="11"/>
      <color theme="1"/>
      <name val="Aptos Narrow (Textkörper)"/>
    </font>
    <font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43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3" borderId="0" xfId="0" applyFont="1" applyFill="1"/>
    <xf numFmtId="0" fontId="1" fillId="4" borderId="0" xfId="0" applyFont="1" applyFill="1"/>
    <xf numFmtId="0" fontId="1" fillId="2" borderId="0" xfId="0" applyFont="1" applyFill="1"/>
    <xf numFmtId="0" fontId="1" fillId="5" borderId="0" xfId="0" applyFont="1" applyFill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0" fillId="0" borderId="12" xfId="0" applyBorder="1"/>
    <xf numFmtId="0" fontId="1" fillId="0" borderId="25" xfId="0" applyFont="1" applyBorder="1" applyAlignment="1">
      <alignment horizontal="center" vertical="center"/>
    </xf>
    <xf numFmtId="0" fontId="0" fillId="0" borderId="26" xfId="0" applyBorder="1"/>
    <xf numFmtId="0" fontId="0" fillId="0" borderId="15" xfId="0" applyBorder="1"/>
    <xf numFmtId="0" fontId="1" fillId="0" borderId="4" xfId="0" applyFont="1" applyBorder="1" applyAlignment="1">
      <alignment vertical="center" wrapText="1"/>
    </xf>
    <xf numFmtId="0" fontId="0" fillId="0" borderId="25" xfId="0" applyBorder="1" applyAlignment="1">
      <alignment horizontal="center" vertical="center"/>
    </xf>
    <xf numFmtId="0" fontId="1" fillId="0" borderId="10" xfId="0" applyFont="1" applyBorder="1"/>
    <xf numFmtId="0" fontId="0" fillId="0" borderId="25" xfId="0" applyBorder="1"/>
    <xf numFmtId="20" fontId="0" fillId="0" borderId="25" xfId="0" applyNumberFormat="1" applyBorder="1"/>
    <xf numFmtId="20" fontId="0" fillId="0" borderId="13" xfId="0" applyNumberFormat="1" applyBorder="1"/>
    <xf numFmtId="0" fontId="0" fillId="0" borderId="25" xfId="0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1" applyFont="1" applyFill="1" applyBorder="1" applyAlignment="1">
      <alignment horizontal="center" vertical="center"/>
    </xf>
    <xf numFmtId="0" fontId="2" fillId="0" borderId="25" xfId="1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2" fillId="0" borderId="32" xfId="1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7" borderId="0" xfId="2" applyFill="1"/>
    <xf numFmtId="0" fontId="0" fillId="7" borderId="0" xfId="0" applyFill="1"/>
    <xf numFmtId="0" fontId="6" fillId="7" borderId="0" xfId="0" applyFont="1" applyFill="1"/>
    <xf numFmtId="0" fontId="1" fillId="7" borderId="0" xfId="0" applyFont="1" applyFill="1"/>
    <xf numFmtId="0" fontId="0" fillId="7" borderId="0" xfId="0" applyFill="1" applyAlignment="1">
      <alignment horizontal="right"/>
    </xf>
    <xf numFmtId="9" fontId="1" fillId="7" borderId="12" xfId="4" applyFont="1" applyFill="1" applyBorder="1" applyAlignment="1">
      <alignment horizontal="center" vertical="center"/>
    </xf>
    <xf numFmtId="9" fontId="1" fillId="7" borderId="15" xfId="4" applyFont="1" applyFill="1" applyBorder="1" applyAlignment="1">
      <alignment horizontal="center" vertical="center"/>
    </xf>
    <xf numFmtId="0" fontId="0" fillId="7" borderId="8" xfId="0" applyFill="1" applyBorder="1" applyAlignment="1">
      <alignment wrapText="1"/>
    </xf>
    <xf numFmtId="0" fontId="0" fillId="7" borderId="2" xfId="0" applyFill="1" applyBorder="1" applyAlignment="1">
      <alignment horizontal="center" vertical="center" wrapText="1"/>
    </xf>
    <xf numFmtId="0" fontId="1" fillId="7" borderId="0" xfId="0" applyFont="1" applyFill="1" applyAlignment="1">
      <alignment vertical="center"/>
    </xf>
    <xf numFmtId="0" fontId="0" fillId="7" borderId="0" xfId="0" applyFill="1" applyAlignment="1">
      <alignment vertical="center"/>
    </xf>
    <xf numFmtId="43" fontId="0" fillId="6" borderId="11" xfId="3" applyFont="1" applyFill="1" applyBorder="1" applyAlignment="1" applyProtection="1">
      <alignment vertical="center"/>
      <protection locked="0"/>
    </xf>
    <xf numFmtId="43" fontId="0" fillId="6" borderId="2" xfId="3" applyFont="1" applyFill="1" applyBorder="1" applyAlignment="1" applyProtection="1">
      <alignment vertical="center"/>
      <protection locked="0"/>
    </xf>
    <xf numFmtId="43" fontId="0" fillId="6" borderId="14" xfId="3" applyFont="1" applyFill="1" applyBorder="1" applyAlignment="1" applyProtection="1">
      <alignment vertical="center"/>
      <protection locked="0"/>
    </xf>
    <xf numFmtId="9" fontId="0" fillId="6" borderId="11" xfId="4" applyFont="1" applyFill="1" applyBorder="1" applyAlignment="1" applyProtection="1">
      <alignment horizontal="center" vertical="center"/>
      <protection locked="0"/>
    </xf>
    <xf numFmtId="9" fontId="2" fillId="6" borderId="11" xfId="4" applyFont="1" applyFill="1" applyBorder="1" applyAlignment="1" applyProtection="1">
      <alignment horizontal="center" vertical="center"/>
      <protection locked="0"/>
    </xf>
    <xf numFmtId="9" fontId="0" fillId="6" borderId="14" xfId="4" applyFont="1" applyFill="1" applyBorder="1" applyAlignment="1" applyProtection="1">
      <alignment horizontal="center" vertical="center"/>
      <protection locked="0"/>
    </xf>
    <xf numFmtId="9" fontId="0" fillId="6" borderId="14" xfId="4" applyFont="1" applyFill="1" applyBorder="1" applyAlignment="1" applyProtection="1">
      <alignment horizontal="center" vertical="center" wrapText="1"/>
      <protection locked="0"/>
    </xf>
    <xf numFmtId="9" fontId="2" fillId="6" borderId="14" xfId="4" applyFont="1" applyFill="1" applyBorder="1" applyAlignment="1" applyProtection="1">
      <alignment horizontal="center" vertical="center"/>
      <protection locked="0"/>
    </xf>
    <xf numFmtId="0" fontId="0" fillId="6" borderId="8" xfId="0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8" fillId="8" borderId="33" xfId="0" applyFont="1" applyFill="1" applyBorder="1" applyAlignment="1">
      <alignment vertical="center"/>
    </xf>
    <xf numFmtId="0" fontId="8" fillId="8" borderId="3" xfId="0" applyFont="1" applyFill="1" applyBorder="1" applyAlignment="1">
      <alignment vertical="center"/>
    </xf>
    <xf numFmtId="0" fontId="7" fillId="8" borderId="13" xfId="0" applyFont="1" applyFill="1" applyBorder="1" applyAlignment="1">
      <alignment horizontal="center" vertical="center"/>
    </xf>
    <xf numFmtId="0" fontId="7" fillId="8" borderId="14" xfId="0" applyFont="1" applyFill="1" applyBorder="1" applyAlignment="1">
      <alignment horizontal="center" vertical="center"/>
    </xf>
    <xf numFmtId="0" fontId="7" fillId="8" borderId="15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9" fontId="0" fillId="6" borderId="35" xfId="4" applyFont="1" applyFill="1" applyBorder="1" applyAlignment="1" applyProtection="1">
      <alignment horizontal="center" vertical="center"/>
      <protection locked="0"/>
    </xf>
    <xf numFmtId="9" fontId="0" fillId="6" borderId="36" xfId="4" applyFont="1" applyFill="1" applyBorder="1" applyAlignment="1" applyProtection="1">
      <alignment horizontal="center" vertical="center"/>
      <protection locked="0"/>
    </xf>
    <xf numFmtId="0" fontId="0" fillId="7" borderId="35" xfId="0" applyFill="1" applyBorder="1"/>
    <xf numFmtId="0" fontId="0" fillId="7" borderId="36" xfId="0" applyFill="1" applyBorder="1"/>
    <xf numFmtId="0" fontId="5" fillId="7" borderId="37" xfId="0" applyFont="1" applyFill="1" applyBorder="1" applyAlignment="1">
      <alignment horizontal="left" vertical="center" wrapText="1"/>
    </xf>
    <xf numFmtId="0" fontId="5" fillId="7" borderId="39" xfId="0" applyFont="1" applyFill="1" applyBorder="1" applyAlignment="1">
      <alignment horizontal="left" vertical="center" wrapText="1"/>
    </xf>
    <xf numFmtId="0" fontId="0" fillId="6" borderId="40" xfId="0" applyFill="1" applyBorder="1" applyProtection="1">
      <protection locked="0"/>
    </xf>
    <xf numFmtId="0" fontId="1" fillId="7" borderId="40" xfId="0" applyFont="1" applyFill="1" applyBorder="1"/>
    <xf numFmtId="0" fontId="0" fillId="7" borderId="3" xfId="0" applyFill="1" applyBorder="1"/>
    <xf numFmtId="0" fontId="0" fillId="7" borderId="9" xfId="0" applyFill="1" applyBorder="1"/>
    <xf numFmtId="0" fontId="0" fillId="6" borderId="3" xfId="0" applyFill="1" applyBorder="1" applyAlignment="1" applyProtection="1">
      <alignment horizontal="left"/>
      <protection locked="0"/>
    </xf>
    <xf numFmtId="0" fontId="0" fillId="9" borderId="9" xfId="0" applyFill="1" applyBorder="1" applyAlignment="1">
      <alignment horizontal="left"/>
    </xf>
    <xf numFmtId="0" fontId="0" fillId="7" borderId="2" xfId="0" applyFill="1" applyBorder="1"/>
    <xf numFmtId="0" fontId="0" fillId="6" borderId="2" xfId="0" applyFill="1" applyBorder="1"/>
    <xf numFmtId="43" fontId="0" fillId="7" borderId="2" xfId="3" applyFont="1" applyFill="1" applyBorder="1" applyAlignment="1">
      <alignment horizontal="center" vertical="center"/>
    </xf>
    <xf numFmtId="0" fontId="8" fillId="8" borderId="29" xfId="0" applyFont="1" applyFill="1" applyBorder="1" applyAlignment="1">
      <alignment vertical="center" wrapText="1"/>
    </xf>
    <xf numFmtId="0" fontId="0" fillId="0" borderId="25" xfId="0" applyBorder="1" applyAlignment="1">
      <alignment wrapText="1"/>
    </xf>
    <xf numFmtId="164" fontId="0" fillId="7" borderId="2" xfId="3" applyNumberFormat="1" applyFont="1" applyFill="1" applyBorder="1" applyAlignment="1">
      <alignment horizontal="center" vertical="center"/>
    </xf>
    <xf numFmtId="43" fontId="0" fillId="0" borderId="2" xfId="0" applyNumberFormat="1" applyBorder="1" applyAlignment="1">
      <alignment horizontal="center" vertical="center"/>
    </xf>
    <xf numFmtId="0" fontId="1" fillId="0" borderId="24" xfId="0" applyFont="1" applyBorder="1" applyAlignment="1">
      <alignment vertical="center" wrapText="1"/>
    </xf>
    <xf numFmtId="166" fontId="0" fillId="0" borderId="0" xfId="0" applyNumberFormat="1"/>
    <xf numFmtId="165" fontId="0" fillId="0" borderId="2" xfId="0" applyNumberFormat="1" applyBorder="1" applyAlignment="1">
      <alignment horizontal="center" vertical="center"/>
    </xf>
    <xf numFmtId="0" fontId="0" fillId="7" borderId="2" xfId="0" applyFill="1" applyBorder="1" applyAlignment="1">
      <alignment horizontal="center" wrapText="1"/>
    </xf>
    <xf numFmtId="0" fontId="0" fillId="7" borderId="2" xfId="0" applyFill="1" applyBorder="1" applyAlignment="1">
      <alignment horizontal="center"/>
    </xf>
    <xf numFmtId="0" fontId="11" fillId="7" borderId="27" xfId="0" applyFont="1" applyFill="1" applyBorder="1" applyAlignment="1">
      <alignment horizontal="left" vertical="top" wrapText="1"/>
    </xf>
    <xf numFmtId="0" fontId="11" fillId="7" borderId="30" xfId="0" applyFont="1" applyFill="1" applyBorder="1" applyAlignment="1">
      <alignment horizontal="left" vertical="top" wrapText="1"/>
    </xf>
    <xf numFmtId="0" fontId="11" fillId="7" borderId="38" xfId="0" applyFont="1" applyFill="1" applyBorder="1" applyAlignment="1">
      <alignment horizontal="left" vertical="top" wrapText="1"/>
    </xf>
    <xf numFmtId="0" fontId="11" fillId="7" borderId="34" xfId="0" applyFont="1" applyFill="1" applyBorder="1" applyAlignment="1">
      <alignment horizontal="left" vertical="top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textRotation="90" wrapText="1"/>
    </xf>
    <xf numFmtId="0" fontId="1" fillId="0" borderId="7" xfId="0" applyFont="1" applyBorder="1" applyAlignment="1">
      <alignment horizontal="center" textRotation="90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8" borderId="19" xfId="0" applyFont="1" applyFill="1" applyBorder="1" applyAlignment="1">
      <alignment horizontal="center" vertical="center"/>
    </xf>
    <xf numFmtId="0" fontId="7" fillId="8" borderId="20" xfId="0" applyFont="1" applyFill="1" applyBorder="1" applyAlignment="1">
      <alignment horizontal="center" vertical="center"/>
    </xf>
    <xf numFmtId="0" fontId="7" fillId="8" borderId="21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</cellXfs>
  <cellStyles count="5">
    <cellStyle name="Komma" xfId="3" builtinId="3"/>
    <cellStyle name="Link" xfId="1" builtinId="8"/>
    <cellStyle name="Prozent" xfId="4" builtinId="5"/>
    <cellStyle name="Standard" xfId="0" builtinId="0"/>
    <cellStyle name="Überschrift" xfId="2" builtinId="15"/>
  </cellStyles>
  <dxfs count="31"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bgColor rgb="FFFFC000"/>
        </patternFill>
      </fill>
    </dxf>
    <dxf>
      <font>
        <color theme="1"/>
      </font>
      <fill>
        <patternFill>
          <bgColor rgb="FFF9696A"/>
        </patternFill>
      </fill>
    </dxf>
    <dxf>
      <font>
        <color theme="1"/>
      </font>
      <fill>
        <patternFill>
          <bgColor rgb="FFFF9966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fgColor auto="1"/>
          <bgColor rgb="FF05B050"/>
        </patternFill>
      </fill>
    </dxf>
    <dxf>
      <fill>
        <patternFill>
          <bgColor theme="6" tint="0.59996337778862885"/>
        </patternFill>
      </fill>
    </dxf>
    <dxf>
      <fill>
        <patternFill>
          <bgColor rgb="FFFFFF96"/>
        </patternFill>
      </fill>
    </dxf>
    <dxf>
      <fill>
        <patternFill>
          <bgColor rgb="FFFFBEA3"/>
        </patternFill>
      </fill>
    </dxf>
    <dxf>
      <fill>
        <patternFill>
          <bgColor rgb="FFF9A1A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rgb="FFFFFF96"/>
        </patternFill>
      </fill>
    </dxf>
    <dxf>
      <fill>
        <patternFill>
          <bgColor rgb="FFFFBEA3"/>
        </patternFill>
      </fill>
    </dxf>
    <dxf>
      <fill>
        <patternFill>
          <bgColor rgb="FFF9A1A0"/>
        </patternFill>
      </fill>
    </dxf>
    <dxf>
      <font>
        <color theme="1"/>
      </font>
      <fill>
        <patternFill>
          <bgColor rgb="FFF9696A"/>
        </patternFill>
      </fill>
    </dxf>
    <dxf>
      <font>
        <color theme="1"/>
      </font>
      <fill>
        <patternFill>
          <bgColor rgb="FFFF9966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fgColor auto="1"/>
          <bgColor rgb="FF05B050"/>
        </patternFill>
      </fill>
    </dxf>
    <dxf>
      <font>
        <color theme="1"/>
      </font>
      <fill>
        <patternFill>
          <bgColor rgb="FFF9696A"/>
        </patternFill>
      </fill>
    </dxf>
    <dxf>
      <font>
        <color theme="1"/>
      </font>
      <fill>
        <patternFill>
          <bgColor rgb="FFFF9966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fgColor auto="1"/>
          <bgColor rgb="FF05B050"/>
        </patternFill>
      </fill>
    </dxf>
  </dxfs>
  <tableStyles count="0" defaultTableStyle="TableStyleMedium2" defaultPivotStyle="PivotStyleLight16"/>
  <colors>
    <mruColors>
      <color rgb="FFFFFF96"/>
      <color rgb="FFF9A1A0"/>
      <color rgb="FFF9696A"/>
      <color rgb="FFFFBEA3"/>
      <color rgb="FFFF9966"/>
      <color rgb="FFFFFF00"/>
      <color rgb="FF06D262"/>
      <color rgb="FF05B050"/>
      <color rgb="FF76D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123599</xdr:colOff>
      <xdr:row>0</xdr:row>
      <xdr:rowOff>0</xdr:rowOff>
    </xdr:from>
    <xdr:to>
      <xdr:col>37</xdr:col>
      <xdr:colOff>124861</xdr:colOff>
      <xdr:row>3</xdr:row>
      <xdr:rowOff>170441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976AF1D-12E5-FE93-42C2-32D2240CE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194399" y="0"/>
          <a:ext cx="1781401" cy="881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F50BA-158D-E548-84EA-E68868D8E22F}">
  <dimension ref="A1:AX70"/>
  <sheetViews>
    <sheetView showGridLines="0" tabSelected="1" zoomScaleNormal="120" workbookViewId="0">
      <pane xSplit="5" ySplit="16" topLeftCell="F17" activePane="bottomRight" state="frozen"/>
      <selection pane="topRight" activeCell="F1" sqref="F1"/>
      <selection pane="bottomLeft" activeCell="A17" sqref="A17"/>
      <selection pane="bottomRight"/>
    </sheetView>
  </sheetViews>
  <sheetFormatPr baseColWidth="10" defaultColWidth="10.83203125" defaultRowHeight="16" zeroHeight="1"/>
  <cols>
    <col min="1" max="4" width="10.83203125" customWidth="1"/>
    <col min="5" max="5" width="16.08203125" customWidth="1"/>
    <col min="6" max="6" width="17.83203125" customWidth="1"/>
    <col min="7" max="8" width="17" customWidth="1"/>
    <col min="9" max="9" width="3.33203125" customWidth="1"/>
    <col min="10" max="10" width="14.83203125" customWidth="1"/>
    <col min="11" max="11" width="17.5" customWidth="1"/>
    <col min="12" max="12" width="19.83203125" bestFit="1" customWidth="1"/>
    <col min="13" max="13" width="3.33203125" customWidth="1"/>
    <col min="14" max="16" width="19.33203125" customWidth="1"/>
    <col min="17" max="17" width="3.33203125" customWidth="1"/>
    <col min="18" max="29" width="10.83203125" customWidth="1"/>
    <col min="30" max="30" width="11.58203125" customWidth="1"/>
    <col min="31" max="32" width="10.83203125" customWidth="1"/>
    <col min="33" max="33" width="16" customWidth="1"/>
    <col min="34" max="34" width="11.58203125" customWidth="1"/>
    <col min="35" max="35" width="11.5" customWidth="1"/>
    <col min="36" max="37" width="11.58203125" customWidth="1"/>
    <col min="38" max="38" width="3.08203125" customWidth="1"/>
    <col min="39" max="39" width="23.08203125" customWidth="1"/>
    <col min="40" max="40" width="9.5" customWidth="1"/>
    <col min="41" max="41" width="17" customWidth="1"/>
    <col min="42" max="42" width="10.83203125" customWidth="1"/>
    <col min="43" max="43" width="16.83203125" customWidth="1"/>
    <col min="44" max="48" width="10.83203125" hidden="1" customWidth="1"/>
    <col min="49" max="49" width="5" hidden="1" customWidth="1"/>
    <col min="50" max="50" width="15.08203125" hidden="1" customWidth="1"/>
    <col min="51" max="57" width="10.83203125" customWidth="1"/>
    <col min="58" max="58" width="18.83203125" customWidth="1"/>
    <col min="59" max="60" width="10.83203125" customWidth="1"/>
    <col min="61" max="61" width="56" customWidth="1"/>
    <col min="62" max="67" width="10.83203125" customWidth="1"/>
    <col min="68" max="68" width="46.5" customWidth="1"/>
    <col min="69" max="71" width="10.83203125" customWidth="1"/>
    <col min="72" max="72" width="46.5" customWidth="1"/>
    <col min="73" max="84" width="10.83203125" customWidth="1"/>
    <col min="85" max="85" width="46.58203125" customWidth="1"/>
    <col min="86" max="89" width="10.83203125" customWidth="1"/>
    <col min="90" max="90" width="46.83203125" customWidth="1"/>
    <col min="91" max="94" width="10.83203125" customWidth="1"/>
    <col min="95" max="95" width="46.58203125" customWidth="1"/>
    <col min="96" max="99" width="10.83203125" customWidth="1"/>
    <col min="100" max="100" width="46.5" customWidth="1"/>
    <col min="101" max="103" width="10.83203125" customWidth="1"/>
    <col min="104" max="104" width="46.58203125" customWidth="1"/>
  </cols>
  <sheetData>
    <row r="1" spans="1:50" s="55" customFormat="1" ht="23.5">
      <c r="A1" s="54" t="s">
        <v>91</v>
      </c>
    </row>
    <row r="2" spans="1:50" s="55" customFormat="1">
      <c r="A2" s="56" t="s">
        <v>137</v>
      </c>
    </row>
    <row r="3" spans="1:50" s="55" customFormat="1"/>
    <row r="4" spans="1:50" s="55" customFormat="1">
      <c r="A4" s="57" t="s">
        <v>35</v>
      </c>
      <c r="B4" s="55" t="s">
        <v>143</v>
      </c>
    </row>
    <row r="5" spans="1:50" s="55" customFormat="1">
      <c r="A5" s="57"/>
    </row>
    <row r="6" spans="1:50">
      <c r="A6" s="57" t="s">
        <v>36</v>
      </c>
      <c r="B6" s="55" t="s">
        <v>112</v>
      </c>
      <c r="C6" s="55"/>
      <c r="D6" s="55"/>
      <c r="E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1" t="s">
        <v>126</v>
      </c>
    </row>
    <row r="7" spans="1:50">
      <c r="A7" s="55"/>
      <c r="B7" s="55" t="s">
        <v>138</v>
      </c>
      <c r="C7" s="55"/>
      <c r="D7" s="55"/>
      <c r="E7" s="95" t="s">
        <v>55</v>
      </c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</row>
    <row r="8" spans="1:50">
      <c r="A8" s="55"/>
      <c r="B8" s="55"/>
      <c r="C8" s="96" t="s">
        <v>56</v>
      </c>
      <c r="D8" s="55"/>
      <c r="E8" s="96" t="s">
        <v>113</v>
      </c>
      <c r="F8" s="55"/>
      <c r="G8" s="102"/>
      <c r="H8" s="101" t="s">
        <v>114</v>
      </c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1" t="s">
        <v>53</v>
      </c>
      <c r="AN8" s="1" t="s">
        <v>40</v>
      </c>
      <c r="AO8" s="1" t="s">
        <v>41</v>
      </c>
      <c r="AP8" s="1" t="s">
        <v>42</v>
      </c>
      <c r="AT8" s="1" t="s">
        <v>40</v>
      </c>
      <c r="AU8" s="1" t="s">
        <v>41</v>
      </c>
      <c r="AV8" s="1" t="s">
        <v>42</v>
      </c>
      <c r="AX8" s="1" t="s">
        <v>55</v>
      </c>
    </row>
    <row r="9" spans="1:50" ht="16.5" thickBot="1">
      <c r="A9" s="55"/>
      <c r="B9" s="57" t="s">
        <v>34</v>
      </c>
      <c r="C9" s="97" t="str" cm="1">
        <f t="array" ref="C9">IFERROR(_xlfn.XLOOKUP($E$7,'Risiko-Relevanz-Analyse'!$AN$8:$AP$8,'Risiko-Relevanz-Analyse'!AN9:AP12),"")</f>
        <v/>
      </c>
      <c r="D9" s="58" t="s">
        <v>57</v>
      </c>
      <c r="E9" s="99">
        <v>100</v>
      </c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7" t="s">
        <v>34</v>
      </c>
      <c r="AN9" t="s">
        <v>47</v>
      </c>
      <c r="AO9" t="s">
        <v>43</v>
      </c>
      <c r="AP9" t="s">
        <v>44</v>
      </c>
      <c r="AR9" s="7" t="s">
        <v>34</v>
      </c>
      <c r="AS9">
        <v>4</v>
      </c>
      <c r="AT9">
        <v>1000000</v>
      </c>
      <c r="AU9">
        <v>1000000</v>
      </c>
      <c r="AV9">
        <v>1000000</v>
      </c>
      <c r="AX9" t="s">
        <v>40</v>
      </c>
    </row>
    <row r="10" spans="1:50">
      <c r="A10" s="55"/>
      <c r="B10" s="57" t="s">
        <v>37</v>
      </c>
      <c r="C10" s="97"/>
      <c r="D10" s="58" t="s">
        <v>57</v>
      </c>
      <c r="E10" s="99">
        <v>50</v>
      </c>
      <c r="F10" s="55"/>
      <c r="G10" s="26">
        <v>1</v>
      </c>
      <c r="H10" s="27" t="s">
        <v>92</v>
      </c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8" t="s">
        <v>37</v>
      </c>
      <c r="AN10" t="s">
        <v>45</v>
      </c>
      <c r="AO10" t="s">
        <v>46</v>
      </c>
      <c r="AP10" t="s">
        <v>47</v>
      </c>
      <c r="AR10" s="8" t="s">
        <v>37</v>
      </c>
      <c r="AS10">
        <v>3</v>
      </c>
      <c r="AT10">
        <v>5</v>
      </c>
      <c r="AU10">
        <v>20</v>
      </c>
      <c r="AV10">
        <v>50</v>
      </c>
      <c r="AX10" t="s">
        <v>41</v>
      </c>
    </row>
    <row r="11" spans="1:50">
      <c r="A11" s="55"/>
      <c r="B11" s="57" t="s">
        <v>38</v>
      </c>
      <c r="C11" s="97"/>
      <c r="D11" s="58" t="s">
        <v>57</v>
      </c>
      <c r="E11" s="99">
        <v>20</v>
      </c>
      <c r="F11" s="55"/>
      <c r="G11" s="28">
        <v>2</v>
      </c>
      <c r="H11" s="29" t="s">
        <v>93</v>
      </c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9" t="s">
        <v>38</v>
      </c>
      <c r="AN11" t="s">
        <v>48</v>
      </c>
      <c r="AO11" t="s">
        <v>49</v>
      </c>
      <c r="AP11" t="s">
        <v>45</v>
      </c>
      <c r="AR11" s="9" t="s">
        <v>38</v>
      </c>
      <c r="AS11">
        <v>2</v>
      </c>
      <c r="AT11">
        <v>1</v>
      </c>
      <c r="AU11">
        <v>2</v>
      </c>
      <c r="AV11">
        <v>5</v>
      </c>
      <c r="AX11" t="s">
        <v>42</v>
      </c>
    </row>
    <row r="12" spans="1:50">
      <c r="A12" s="55"/>
      <c r="B12" s="57" t="s">
        <v>39</v>
      </c>
      <c r="C12" s="98"/>
      <c r="D12" s="58" t="s">
        <v>58</v>
      </c>
      <c r="E12" s="100">
        <f>$E$11</f>
        <v>20</v>
      </c>
      <c r="F12" s="55"/>
      <c r="G12" s="28">
        <v>3</v>
      </c>
      <c r="H12" s="29" t="s">
        <v>94</v>
      </c>
      <c r="I12" s="55"/>
      <c r="J12" s="55" t="s">
        <v>107</v>
      </c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10" t="s">
        <v>39</v>
      </c>
      <c r="AN12" t="s">
        <v>50</v>
      </c>
      <c r="AO12" t="s">
        <v>51</v>
      </c>
      <c r="AP12" t="s">
        <v>52</v>
      </c>
      <c r="AR12" s="10" t="s">
        <v>39</v>
      </c>
      <c r="AS12">
        <v>1</v>
      </c>
      <c r="AT12">
        <v>0.25</v>
      </c>
      <c r="AU12">
        <v>0.5</v>
      </c>
      <c r="AV12">
        <v>1</v>
      </c>
      <c r="AX12" t="s">
        <v>54</v>
      </c>
    </row>
    <row r="13" spans="1:50" ht="16.5" thickBot="1">
      <c r="A13" s="55"/>
      <c r="B13" s="57"/>
      <c r="C13" s="55"/>
      <c r="D13" s="58"/>
      <c r="E13" s="55"/>
      <c r="F13" s="55"/>
      <c r="G13" s="17">
        <v>4</v>
      </c>
      <c r="H13" s="30" t="s">
        <v>95</v>
      </c>
      <c r="I13" s="55"/>
      <c r="J13" s="55" t="s">
        <v>108</v>
      </c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</row>
    <row r="14" spans="1:50" ht="36" customHeight="1" thickBot="1">
      <c r="A14" s="63" t="s">
        <v>109</v>
      </c>
      <c r="B14" s="64" t="s">
        <v>140</v>
      </c>
      <c r="C14" s="64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132" t="s">
        <v>133</v>
      </c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4"/>
      <c r="AG14" s="55"/>
      <c r="AH14" s="55"/>
      <c r="AI14" s="55"/>
      <c r="AJ14" s="55"/>
      <c r="AK14" s="55"/>
      <c r="AL14" s="55"/>
    </row>
    <row r="15" spans="1:50" ht="36.75" customHeight="1" thickBot="1">
      <c r="A15" s="55"/>
      <c r="B15" s="55"/>
      <c r="C15" s="55"/>
      <c r="D15" s="55"/>
      <c r="E15" s="55"/>
      <c r="F15" s="55"/>
      <c r="G15" s="141" t="s">
        <v>128</v>
      </c>
      <c r="H15" s="142"/>
      <c r="I15" s="55"/>
      <c r="J15" s="138" t="s">
        <v>115</v>
      </c>
      <c r="K15" s="139"/>
      <c r="L15" s="140"/>
      <c r="M15" s="55"/>
      <c r="N15" s="135" t="s">
        <v>75</v>
      </c>
      <c r="O15" s="136"/>
      <c r="P15" s="137"/>
      <c r="Q15" s="55"/>
      <c r="R15" s="121" t="s">
        <v>134</v>
      </c>
      <c r="S15" s="122"/>
      <c r="T15" s="122"/>
      <c r="U15" s="122"/>
      <c r="V15" s="122"/>
      <c r="W15" s="123"/>
      <c r="X15" s="121" t="s">
        <v>135</v>
      </c>
      <c r="Y15" s="122"/>
      <c r="Z15" s="123"/>
      <c r="AA15" s="48"/>
      <c r="AB15" s="121" t="s">
        <v>136</v>
      </c>
      <c r="AC15" s="122"/>
      <c r="AD15" s="122"/>
      <c r="AE15" s="122"/>
      <c r="AF15" s="123"/>
      <c r="AG15" s="55"/>
      <c r="AH15" s="111" t="s">
        <v>117</v>
      </c>
      <c r="AI15" s="112"/>
      <c r="AJ15" s="111" t="s">
        <v>120</v>
      </c>
      <c r="AK15" s="112"/>
      <c r="AL15" s="55"/>
    </row>
    <row r="16" spans="1:50" ht="50.15" customHeight="1" thickBot="1">
      <c r="A16" s="55"/>
      <c r="B16" s="117" t="s">
        <v>111</v>
      </c>
      <c r="C16" s="118"/>
      <c r="D16" s="118"/>
      <c r="E16" s="18" t="s">
        <v>10</v>
      </c>
      <c r="F16" s="108" t="s">
        <v>127</v>
      </c>
      <c r="G16" s="31" t="s">
        <v>96</v>
      </c>
      <c r="H16" s="25" t="s">
        <v>129</v>
      </c>
      <c r="I16" s="55"/>
      <c r="J16" s="75" t="s">
        <v>130</v>
      </c>
      <c r="K16" s="76" t="s">
        <v>116</v>
      </c>
      <c r="L16" s="104" t="s">
        <v>122</v>
      </c>
      <c r="M16" s="55"/>
      <c r="N16" s="77" t="s">
        <v>76</v>
      </c>
      <c r="O16" s="78" t="s">
        <v>77</v>
      </c>
      <c r="P16" s="79" t="s">
        <v>78</v>
      </c>
      <c r="Q16" s="55"/>
      <c r="R16" s="37" t="s">
        <v>0</v>
      </c>
      <c r="S16" s="16" t="s">
        <v>2</v>
      </c>
      <c r="T16" s="16" t="s">
        <v>3</v>
      </c>
      <c r="U16" s="16" t="s">
        <v>1</v>
      </c>
      <c r="V16" s="16" t="s">
        <v>97</v>
      </c>
      <c r="W16" s="21" t="s">
        <v>98</v>
      </c>
      <c r="X16" s="37" t="s">
        <v>99</v>
      </c>
      <c r="Y16" s="16" t="s">
        <v>100</v>
      </c>
      <c r="Z16" s="21" t="s">
        <v>101</v>
      </c>
      <c r="AA16" s="49" t="s">
        <v>102</v>
      </c>
      <c r="AB16" s="37" t="s">
        <v>7</v>
      </c>
      <c r="AC16" s="16" t="s">
        <v>103</v>
      </c>
      <c r="AD16" s="16" t="s">
        <v>104</v>
      </c>
      <c r="AE16" s="16" t="s">
        <v>106</v>
      </c>
      <c r="AF16" s="21" t="s">
        <v>105</v>
      </c>
      <c r="AG16" s="61" t="s">
        <v>139</v>
      </c>
      <c r="AH16" s="62" t="s">
        <v>118</v>
      </c>
      <c r="AI16" s="62" t="s">
        <v>119</v>
      </c>
      <c r="AJ16" s="62" t="s">
        <v>131</v>
      </c>
      <c r="AK16" s="62" t="s">
        <v>121</v>
      </c>
      <c r="AL16" s="55"/>
      <c r="AM16" s="33" t="s">
        <v>123</v>
      </c>
      <c r="AN16" s="27"/>
    </row>
    <row r="17" spans="1:42" ht="68.150000000000006" customHeight="1">
      <c r="A17" s="124" t="s">
        <v>31</v>
      </c>
      <c r="B17" s="128" t="s">
        <v>27</v>
      </c>
      <c r="C17" s="129"/>
      <c r="D17" s="129"/>
      <c r="E17" s="19">
        <v>1</v>
      </c>
      <c r="F17" s="65"/>
      <c r="G17" s="11" t="e">
        <f>_xlfn.XLOOKUP(H17&amp;";"&amp;L17,'Risiko-Relevanz-Analyse'!$AM$18:$AM$33,'Risiko-Relevanz-Analyse'!$AN$18:$AN$33)</f>
        <v>#N/A</v>
      </c>
      <c r="H17" s="11" t="str" cm="1">
        <f t="array" ref="H17">IFERROR(IF($E$7="benutzerdefiniert",_xlfn.IFS(F17&gt;=$E$9,4,AND(F17&lt;$E$9,F17&gt;=$E$10),3,AND(F17&lt;$E$10,F17&gt;=$E$11),2,TRUE(),1),
_xlfn.IFS(AND(F17&lt;_xlfn.XLOOKUP($E$7,'Risiko-Relevanz-Analyse'!$AT$8:$AV$8,'Risiko-Relevanz-Analyse'!$AT$9:$AV$9),F17&gt;=_xlfn.XLOOKUP($E$7,'Risiko-Relevanz-Analyse'!$AT$8:$AV$8,'Risiko-Relevanz-Analyse'!$AT$10:$AV$10)),'Risiko-Relevanz-Analyse'!$AS$9,
AND(F17&lt;_xlfn.XLOOKUP($E$7,'Risiko-Relevanz-Analyse'!$AT$8:$AV$8,'Risiko-Relevanz-Analyse'!$AT$10:$AV$10),F17&gt;=_xlfn.XLOOKUP($E$7,'Risiko-Relevanz-Analyse'!$AT$8:$AV$8,'Risiko-Relevanz-Analyse'!$AT$11:$AV$11)),'Risiko-Relevanz-Analyse'!$AS$10,
AND(F17&lt;_xlfn.XLOOKUP($E$7,'Risiko-Relevanz-Analyse'!$AT$8:$AV$8,'Risiko-Relevanz-Analyse'!$AT$11:$AV$11),F17&gt;=_xlfn.XLOOKUP($E$7,'Risiko-Relevanz-Analyse'!$AT$8:$AV$8,'Risiko-Relevanz-Analyse'!$AT$12:$AV$12)),'Risiko-Relevanz-Analyse'!$AS$11,TRUE(),
'Risiko-Relevanz-Analyse'!$AS$12)),"")</f>
        <v/>
      </c>
      <c r="I17" s="55"/>
      <c r="J17" s="80" cm="1">
        <f t="array" ref="J17">_xlfn.IFS(AI17&gt;0.9,4,AI17&gt;0,3,AI17&gt;-0.9,2,TRUE,1)</f>
        <v>4</v>
      </c>
      <c r="K17" s="81" cm="1">
        <f t="array" ref="K17">_xlfn.IFS(AK17&lt;-0.8,1,AK17&lt;-0.1,2,AK17&lt;1,3,TRUE,4)</f>
        <v>2</v>
      </c>
      <c r="L17" s="82">
        <f t="shared" ref="L17:L36" si="0">_xlfn.XLOOKUP(J17&amp;";"&amp;K17,$AM$18:$AM$33,$AN$18:$AN$33)</f>
        <v>3</v>
      </c>
      <c r="M17" s="55"/>
      <c r="N17" s="52" t="s">
        <v>79</v>
      </c>
      <c r="O17" s="19"/>
      <c r="P17" s="20" t="s">
        <v>87</v>
      </c>
      <c r="Q17" s="55"/>
      <c r="R17" s="38">
        <v>3</v>
      </c>
      <c r="S17" s="4">
        <v>2</v>
      </c>
      <c r="T17" s="4">
        <v>2</v>
      </c>
      <c r="U17" s="4">
        <v>2</v>
      </c>
      <c r="V17" s="3">
        <v>3</v>
      </c>
      <c r="W17" s="39">
        <v>2</v>
      </c>
      <c r="X17" s="38">
        <v>3</v>
      </c>
      <c r="Y17" s="5">
        <v>3</v>
      </c>
      <c r="Z17" s="41">
        <v>3</v>
      </c>
      <c r="AA17" s="14">
        <v>2</v>
      </c>
      <c r="AB17" s="40">
        <v>2</v>
      </c>
      <c r="AC17" s="4">
        <v>2</v>
      </c>
      <c r="AD17" s="6">
        <v>2</v>
      </c>
      <c r="AE17" s="4">
        <v>2</v>
      </c>
      <c r="AF17" s="39">
        <v>2</v>
      </c>
      <c r="AG17" s="73">
        <v>1</v>
      </c>
      <c r="AH17" s="103">
        <f t="shared" ref="AH17:AH36" si="1">IF(AG17=1,SUMPRODUCT($R17:$AF17,$R$38:$AF$38),SUMPRODUCT($R17:$AF17,$R$39:$AF$39))</f>
        <v>2.2500000000000004</v>
      </c>
      <c r="AI17" s="103">
        <f t="shared" ref="AI17:AI36" si="2">(AH17-AVERAGE($AH$17:$AH$36))/STDEV($AH$17:$AH$36)</f>
        <v>1.0823425818683776</v>
      </c>
      <c r="AJ17" s="106">
        <v>1.78963550772564E-4</v>
      </c>
      <c r="AK17" s="107">
        <f>(AJ17-AVERAGE($AJ$17:$AJ$36))/STDEV($AJ$17:$AJ$36)</f>
        <v>-0.59738653913329254</v>
      </c>
      <c r="AL17" s="55"/>
      <c r="AM17" s="105" t="s">
        <v>124</v>
      </c>
      <c r="AN17" s="29" t="s">
        <v>125</v>
      </c>
      <c r="AP17" s="109"/>
    </row>
    <row r="18" spans="1:42" ht="68.150000000000006" customHeight="1">
      <c r="A18" s="125"/>
      <c r="B18" s="119" t="s">
        <v>28</v>
      </c>
      <c r="C18" s="120"/>
      <c r="D18" s="120"/>
      <c r="E18" s="2">
        <v>2</v>
      </c>
      <c r="F18" s="66"/>
      <c r="G18" s="12" t="e">
        <f>_xlfn.XLOOKUP(H18&amp;";"&amp;L18,'Risiko-Relevanz-Analyse'!$AM$18:$AM$33,'Risiko-Relevanz-Analyse'!$AN$18:$AN$33)</f>
        <v>#N/A</v>
      </c>
      <c r="H18" s="12" t="str" cm="1">
        <f t="array" ref="H18">IFERROR(IF($E$7="benutzerdefiniert",_xlfn.IFS(F18&gt;=$E$9,4,AND(F18&lt;$E$9,F18&gt;=$E$10),3,AND(F18&lt;$E$10,F18&gt;=$E$11),2,TRUE(),1),
_xlfn.IFS(AND(F18&lt;_xlfn.XLOOKUP($E$7,'Risiko-Relevanz-Analyse'!$AT$8:$AV$8,'Risiko-Relevanz-Analyse'!$AT$9:$AV$9),F18&gt;=_xlfn.XLOOKUP($E$7,'Risiko-Relevanz-Analyse'!$AT$8:$AV$8,'Risiko-Relevanz-Analyse'!$AT$10:$AV$10)),'Risiko-Relevanz-Analyse'!$AS$9,
AND(F18&lt;_xlfn.XLOOKUP($E$7,'Risiko-Relevanz-Analyse'!$AT$8:$AV$8,'Risiko-Relevanz-Analyse'!$AT$10:$AV$10),F18&gt;=_xlfn.XLOOKUP($E$7,'Risiko-Relevanz-Analyse'!$AT$8:$AV$8,'Risiko-Relevanz-Analyse'!$AT$11:$AV$11)),'Risiko-Relevanz-Analyse'!$AS$10,
AND(F18&lt;_xlfn.XLOOKUP($E$7,'Risiko-Relevanz-Analyse'!$AT$8:$AV$8,'Risiko-Relevanz-Analyse'!$AT$11:$AV$11),F18&gt;=_xlfn.XLOOKUP($E$7,'Risiko-Relevanz-Analyse'!$AT$8:$AV$8,'Risiko-Relevanz-Analyse'!$AT$12:$AV$12)),'Risiko-Relevanz-Analyse'!$AS$11,TRUE(),
'Risiko-Relevanz-Analyse'!$AS$12)),"")</f>
        <v/>
      </c>
      <c r="I18" s="55"/>
      <c r="J18" s="83" cm="1">
        <f t="array" ref="J18">_xlfn.IFS(AI18&gt;0.9,4,AI18&gt;0,3,AI18&gt;-0.9,2,TRUE,1)</f>
        <v>3</v>
      </c>
      <c r="K18" s="84" cm="1">
        <f t="array" ref="K18">_xlfn.IFS(AK18&lt;-0.8,1,AK18&lt;-0.1,2,AK18&lt;1,3,TRUE,4)</f>
        <v>3</v>
      </c>
      <c r="L18" s="85">
        <f t="shared" si="0"/>
        <v>4</v>
      </c>
      <c r="M18" s="55"/>
      <c r="N18" s="32" t="s">
        <v>4</v>
      </c>
      <c r="O18" s="2" t="s">
        <v>80</v>
      </c>
      <c r="P18" s="21" t="s">
        <v>89</v>
      </c>
      <c r="Q18" s="55"/>
      <c r="R18" s="40">
        <v>2</v>
      </c>
      <c r="S18" s="4">
        <v>2</v>
      </c>
      <c r="T18" s="5">
        <v>1</v>
      </c>
      <c r="U18" s="5">
        <v>1</v>
      </c>
      <c r="V18" s="4">
        <v>2</v>
      </c>
      <c r="W18" s="46">
        <v>3</v>
      </c>
      <c r="X18" s="38">
        <v>3</v>
      </c>
      <c r="Y18" s="5">
        <v>3</v>
      </c>
      <c r="Z18" s="39">
        <v>2</v>
      </c>
      <c r="AA18" s="14">
        <v>2</v>
      </c>
      <c r="AB18" s="40">
        <v>2</v>
      </c>
      <c r="AC18" s="4">
        <v>2</v>
      </c>
      <c r="AD18" s="4">
        <v>2</v>
      </c>
      <c r="AE18" s="4">
        <v>2</v>
      </c>
      <c r="AF18" s="39">
        <v>2</v>
      </c>
      <c r="AG18" s="73">
        <v>1</v>
      </c>
      <c r="AH18" s="103">
        <f t="shared" si="1"/>
        <v>1.9916666666666663</v>
      </c>
      <c r="AI18" s="103">
        <f t="shared" si="2"/>
        <v>0.18641147271164124</v>
      </c>
      <c r="AJ18" s="106">
        <v>3.0901240253276027E-4</v>
      </c>
      <c r="AK18" s="107">
        <f t="shared" ref="AK18:AK36" si="3">(AJ18-AVERAGE($AJ$17:$AJ$36))/STDEV($AJ$17:$AJ$36)</f>
        <v>-9.015633675337073E-3</v>
      </c>
      <c r="AL18" s="55"/>
      <c r="AM18" s="34" t="s">
        <v>59</v>
      </c>
      <c r="AN18" s="85">
        <v>1</v>
      </c>
      <c r="AP18" s="109"/>
    </row>
    <row r="19" spans="1:42" ht="68.150000000000006" customHeight="1">
      <c r="A19" s="125"/>
      <c r="B19" s="119" t="s">
        <v>29</v>
      </c>
      <c r="C19" s="120"/>
      <c r="D19" s="120"/>
      <c r="E19" s="2">
        <v>3</v>
      </c>
      <c r="F19" s="66"/>
      <c r="G19" s="12" t="e">
        <f>_xlfn.XLOOKUP(H19&amp;";"&amp;L19,'Risiko-Relevanz-Analyse'!$AM$18:$AM$33,'Risiko-Relevanz-Analyse'!$AN$18:$AN$33)</f>
        <v>#N/A</v>
      </c>
      <c r="H19" s="12" t="str" cm="1">
        <f t="array" ref="H19">IFERROR(IF($E$7="benutzerdefiniert",_xlfn.IFS(F19&gt;=$E$9,4,AND(F19&lt;$E$9,F19&gt;=$E$10),3,AND(F19&lt;$E$10,F19&gt;=$E$11),2,TRUE(),1),
_xlfn.IFS(AND(F19&lt;_xlfn.XLOOKUP($E$7,'Risiko-Relevanz-Analyse'!$AT$8:$AV$8,'Risiko-Relevanz-Analyse'!$AT$9:$AV$9),F19&gt;=_xlfn.XLOOKUP($E$7,'Risiko-Relevanz-Analyse'!$AT$8:$AV$8,'Risiko-Relevanz-Analyse'!$AT$10:$AV$10)),'Risiko-Relevanz-Analyse'!$AS$9,
AND(F19&lt;_xlfn.XLOOKUP($E$7,'Risiko-Relevanz-Analyse'!$AT$8:$AV$8,'Risiko-Relevanz-Analyse'!$AT$10:$AV$10),F19&gt;=_xlfn.XLOOKUP($E$7,'Risiko-Relevanz-Analyse'!$AT$8:$AV$8,'Risiko-Relevanz-Analyse'!$AT$11:$AV$11)),'Risiko-Relevanz-Analyse'!$AS$10,
AND(F19&lt;_xlfn.XLOOKUP($E$7,'Risiko-Relevanz-Analyse'!$AT$8:$AV$8,'Risiko-Relevanz-Analyse'!$AT$11:$AV$11),F19&gt;=_xlfn.XLOOKUP($E$7,'Risiko-Relevanz-Analyse'!$AT$8:$AV$8,'Risiko-Relevanz-Analyse'!$AT$12:$AV$12)),'Risiko-Relevanz-Analyse'!$AS$11,TRUE(),
'Risiko-Relevanz-Analyse'!$AS$12)),"")</f>
        <v/>
      </c>
      <c r="I19" s="55"/>
      <c r="J19" s="83" cm="1">
        <f t="array" ref="J19">_xlfn.IFS(AI19&gt;0.9,4,AI19&gt;0,3,AI19&gt;-0.9,2,TRUE,1)</f>
        <v>3</v>
      </c>
      <c r="K19" s="84" cm="1">
        <f t="array" ref="K19">_xlfn.IFS(AK19&lt;-0.8,1,AK19&lt;-0.1,2,AK19&lt;1,3,TRUE,4)</f>
        <v>3</v>
      </c>
      <c r="L19" s="85">
        <f t="shared" si="0"/>
        <v>4</v>
      </c>
      <c r="M19" s="55"/>
      <c r="N19" s="32" t="s">
        <v>0</v>
      </c>
      <c r="O19" s="2" t="s">
        <v>80</v>
      </c>
      <c r="P19" s="21" t="s">
        <v>89</v>
      </c>
      <c r="Q19" s="55"/>
      <c r="R19" s="40">
        <v>3</v>
      </c>
      <c r="S19" s="5">
        <v>2</v>
      </c>
      <c r="T19" s="5">
        <v>2</v>
      </c>
      <c r="U19" s="4">
        <v>1</v>
      </c>
      <c r="V19" s="5">
        <v>1</v>
      </c>
      <c r="W19" s="41">
        <v>2</v>
      </c>
      <c r="X19" s="38">
        <v>3</v>
      </c>
      <c r="Y19" s="5">
        <v>3</v>
      </c>
      <c r="Z19" s="39">
        <v>2</v>
      </c>
      <c r="AA19" s="14">
        <v>3</v>
      </c>
      <c r="AB19" s="40">
        <v>2</v>
      </c>
      <c r="AC19" s="4">
        <v>2</v>
      </c>
      <c r="AD19" s="6">
        <v>2</v>
      </c>
      <c r="AE19" s="4">
        <v>2</v>
      </c>
      <c r="AF19" s="39">
        <v>2</v>
      </c>
      <c r="AG19" s="73">
        <v>1</v>
      </c>
      <c r="AH19" s="103">
        <f t="shared" si="1"/>
        <v>1.9916666666666663</v>
      </c>
      <c r="AI19" s="103">
        <f t="shared" si="2"/>
        <v>0.18641147271164124</v>
      </c>
      <c r="AJ19" s="106">
        <v>3.0901240253276027E-4</v>
      </c>
      <c r="AK19" s="107">
        <f t="shared" si="3"/>
        <v>-9.015633675337073E-3</v>
      </c>
      <c r="AL19" s="55"/>
      <c r="AM19" s="34" t="s">
        <v>60</v>
      </c>
      <c r="AN19" s="85">
        <v>1</v>
      </c>
      <c r="AP19" s="109"/>
    </row>
    <row r="20" spans="1:42" ht="68.150000000000006" customHeight="1">
      <c r="A20" s="125"/>
      <c r="B20" s="119" t="s">
        <v>12</v>
      </c>
      <c r="C20" s="120"/>
      <c r="D20" s="120"/>
      <c r="E20" s="2">
        <v>4</v>
      </c>
      <c r="F20" s="66"/>
      <c r="G20" s="12" t="e">
        <f>_xlfn.XLOOKUP(H20&amp;";"&amp;L20,'Risiko-Relevanz-Analyse'!$AM$18:$AM$33,'Risiko-Relevanz-Analyse'!$AN$18:$AN$33)</f>
        <v>#N/A</v>
      </c>
      <c r="H20" s="12" t="str" cm="1">
        <f t="array" ref="H20">IFERROR(IF($E$7="benutzerdefiniert",_xlfn.IFS(F20&gt;=$E$9,4,AND(F20&lt;$E$9,F20&gt;=$E$10),3,AND(F20&lt;$E$10,F20&gt;=$E$11),2,TRUE(),1),
_xlfn.IFS(AND(F20&lt;_xlfn.XLOOKUP($E$7,'Risiko-Relevanz-Analyse'!$AT$8:$AV$8,'Risiko-Relevanz-Analyse'!$AT$9:$AV$9),F20&gt;=_xlfn.XLOOKUP($E$7,'Risiko-Relevanz-Analyse'!$AT$8:$AV$8,'Risiko-Relevanz-Analyse'!$AT$10:$AV$10)),'Risiko-Relevanz-Analyse'!$AS$9,
AND(F20&lt;_xlfn.XLOOKUP($E$7,'Risiko-Relevanz-Analyse'!$AT$8:$AV$8,'Risiko-Relevanz-Analyse'!$AT$10:$AV$10),F20&gt;=_xlfn.XLOOKUP($E$7,'Risiko-Relevanz-Analyse'!$AT$8:$AV$8,'Risiko-Relevanz-Analyse'!$AT$11:$AV$11)),'Risiko-Relevanz-Analyse'!$AS$10,
AND(F20&lt;_xlfn.XLOOKUP($E$7,'Risiko-Relevanz-Analyse'!$AT$8:$AV$8,'Risiko-Relevanz-Analyse'!$AT$11:$AV$11),F20&gt;=_xlfn.XLOOKUP($E$7,'Risiko-Relevanz-Analyse'!$AT$8:$AV$8,'Risiko-Relevanz-Analyse'!$AT$12:$AV$12)),'Risiko-Relevanz-Analyse'!$AS$11,TRUE(),
'Risiko-Relevanz-Analyse'!$AS$12)),"")</f>
        <v/>
      </c>
      <c r="I20" s="55"/>
      <c r="J20" s="83" cm="1">
        <f t="array" ref="J20">_xlfn.IFS(AI20&gt;0.9,4,AI20&gt;0,3,AI20&gt;-0.9,2,TRUE,1)</f>
        <v>3</v>
      </c>
      <c r="K20" s="84" cm="1">
        <f t="array" ref="K20">_xlfn.IFS(AK20&lt;-0.8,1,AK20&lt;-0.1,2,AK20&lt;1,3,TRUE,4)</f>
        <v>2</v>
      </c>
      <c r="L20" s="85">
        <f t="shared" si="0"/>
        <v>3</v>
      </c>
      <c r="M20" s="55"/>
      <c r="N20" s="32" t="s">
        <v>4</v>
      </c>
      <c r="O20" s="16" t="s">
        <v>90</v>
      </c>
      <c r="P20" s="21" t="s">
        <v>89</v>
      </c>
      <c r="Q20" s="55"/>
      <c r="R20" s="40">
        <v>2</v>
      </c>
      <c r="S20" s="5">
        <v>2</v>
      </c>
      <c r="T20" s="4">
        <v>2</v>
      </c>
      <c r="U20" s="4">
        <v>1</v>
      </c>
      <c r="V20" s="5">
        <v>1</v>
      </c>
      <c r="W20" s="41">
        <v>3</v>
      </c>
      <c r="X20" s="38">
        <v>3</v>
      </c>
      <c r="Y20" s="5">
        <v>3</v>
      </c>
      <c r="Z20" s="41">
        <v>2</v>
      </c>
      <c r="AA20" s="14">
        <v>2</v>
      </c>
      <c r="AB20" s="38">
        <v>2</v>
      </c>
      <c r="AC20" s="5">
        <v>2</v>
      </c>
      <c r="AD20" s="5">
        <v>3</v>
      </c>
      <c r="AE20" s="5">
        <v>2</v>
      </c>
      <c r="AF20" s="41">
        <v>3</v>
      </c>
      <c r="AG20" s="73">
        <v>1</v>
      </c>
      <c r="AH20" s="103">
        <f t="shared" si="1"/>
        <v>2.1716666666666664</v>
      </c>
      <c r="AI20" s="103">
        <f t="shared" si="2"/>
        <v>0.81067314876923657</v>
      </c>
      <c r="AJ20" s="106">
        <v>2.1296002376379578E-4</v>
      </c>
      <c r="AK20" s="107">
        <f t="shared" si="3"/>
        <v>-0.44357867904459553</v>
      </c>
      <c r="AL20" s="55"/>
      <c r="AM20" s="34" t="s">
        <v>61</v>
      </c>
      <c r="AN20" s="85">
        <v>2</v>
      </c>
      <c r="AP20" s="109"/>
    </row>
    <row r="21" spans="1:42" ht="68.150000000000006" customHeight="1">
      <c r="A21" s="125"/>
      <c r="B21" s="119" t="s">
        <v>30</v>
      </c>
      <c r="C21" s="120"/>
      <c r="D21" s="120"/>
      <c r="E21" s="2">
        <v>5</v>
      </c>
      <c r="F21" s="66"/>
      <c r="G21" s="12" t="e">
        <f>_xlfn.XLOOKUP(H21&amp;";"&amp;L21,'Risiko-Relevanz-Analyse'!$AM$18:$AM$33,'Risiko-Relevanz-Analyse'!$AN$18:$AN$33)</f>
        <v>#N/A</v>
      </c>
      <c r="H21" s="12" t="str" cm="1">
        <f t="array" ref="H21">IFERROR(IF($E$7="benutzerdefiniert",_xlfn.IFS(F21&gt;=$E$9,4,AND(F21&lt;$E$9,F21&gt;=$E$10),3,AND(F21&lt;$E$10,F21&gt;=$E$11),2,TRUE(),1),
_xlfn.IFS(AND(F21&lt;_xlfn.XLOOKUP($E$7,'Risiko-Relevanz-Analyse'!$AT$8:$AV$8,'Risiko-Relevanz-Analyse'!$AT$9:$AV$9),F21&gt;=_xlfn.XLOOKUP($E$7,'Risiko-Relevanz-Analyse'!$AT$8:$AV$8,'Risiko-Relevanz-Analyse'!$AT$10:$AV$10)),'Risiko-Relevanz-Analyse'!$AS$9,
AND(F21&lt;_xlfn.XLOOKUP($E$7,'Risiko-Relevanz-Analyse'!$AT$8:$AV$8,'Risiko-Relevanz-Analyse'!$AT$10:$AV$10),F21&gt;=_xlfn.XLOOKUP($E$7,'Risiko-Relevanz-Analyse'!$AT$8:$AV$8,'Risiko-Relevanz-Analyse'!$AT$11:$AV$11)),'Risiko-Relevanz-Analyse'!$AS$10,
AND(F21&lt;_xlfn.XLOOKUP($E$7,'Risiko-Relevanz-Analyse'!$AT$8:$AV$8,'Risiko-Relevanz-Analyse'!$AT$11:$AV$11),F21&gt;=_xlfn.XLOOKUP($E$7,'Risiko-Relevanz-Analyse'!$AT$8:$AV$8,'Risiko-Relevanz-Analyse'!$AT$12:$AV$12)),'Risiko-Relevanz-Analyse'!$AS$11,TRUE(),
'Risiko-Relevanz-Analyse'!$AS$12)),"")</f>
        <v/>
      </c>
      <c r="I21" s="55"/>
      <c r="J21" s="83" cm="1">
        <f t="array" ref="J21">_xlfn.IFS(AI21&gt;0.9,4,AI21&gt;0,3,AI21&gt;-0.9,2,TRUE,1)</f>
        <v>2</v>
      </c>
      <c r="K21" s="84" cm="1">
        <f t="array" ref="K21">_xlfn.IFS(AK21&lt;-0.8,1,AK21&lt;-0.1,2,AK21&lt;1,3,TRUE,4)</f>
        <v>2</v>
      </c>
      <c r="L21" s="85">
        <f t="shared" si="0"/>
        <v>2</v>
      </c>
      <c r="M21" s="55"/>
      <c r="N21" s="32" t="s">
        <v>0</v>
      </c>
      <c r="O21" s="2" t="s">
        <v>80</v>
      </c>
      <c r="P21" s="21" t="s">
        <v>89</v>
      </c>
      <c r="Q21" s="55"/>
      <c r="R21" s="40">
        <v>3</v>
      </c>
      <c r="S21" s="5">
        <v>2</v>
      </c>
      <c r="T21" s="4">
        <v>1</v>
      </c>
      <c r="U21" s="4">
        <v>1</v>
      </c>
      <c r="V21" s="4">
        <v>1</v>
      </c>
      <c r="W21" s="39">
        <v>2</v>
      </c>
      <c r="X21" s="38">
        <v>3</v>
      </c>
      <c r="Y21" s="5">
        <v>3</v>
      </c>
      <c r="Z21" s="41">
        <v>2</v>
      </c>
      <c r="AA21" s="15">
        <v>2</v>
      </c>
      <c r="AB21" s="38">
        <v>1</v>
      </c>
      <c r="AC21" s="5">
        <v>1</v>
      </c>
      <c r="AD21" s="5">
        <v>2</v>
      </c>
      <c r="AE21" s="5">
        <v>2</v>
      </c>
      <c r="AF21" s="41">
        <v>2</v>
      </c>
      <c r="AG21" s="73">
        <v>1</v>
      </c>
      <c r="AH21" s="103">
        <f t="shared" si="1"/>
        <v>1.7366666666666666</v>
      </c>
      <c r="AI21" s="103">
        <f t="shared" si="2"/>
        <v>-0.69795923503661694</v>
      </c>
      <c r="AJ21" s="106">
        <v>2.1296002376379578E-4</v>
      </c>
      <c r="AK21" s="107">
        <f t="shared" si="3"/>
        <v>-0.44357867904459553</v>
      </c>
      <c r="AL21" s="55"/>
      <c r="AM21" s="34" t="s">
        <v>62</v>
      </c>
      <c r="AN21" s="85">
        <v>3</v>
      </c>
      <c r="AP21" s="109"/>
    </row>
    <row r="22" spans="1:42" ht="68.150000000000006" customHeight="1">
      <c r="A22" s="125" t="s">
        <v>32</v>
      </c>
      <c r="B22" s="119" t="s">
        <v>11</v>
      </c>
      <c r="C22" s="120"/>
      <c r="D22" s="120"/>
      <c r="E22" s="2">
        <v>6</v>
      </c>
      <c r="F22" s="66"/>
      <c r="G22" s="12" t="e">
        <f>_xlfn.XLOOKUP(H22&amp;";"&amp;L22,'Risiko-Relevanz-Analyse'!$AM$18:$AM$33,'Risiko-Relevanz-Analyse'!$AN$18:$AN$33)</f>
        <v>#N/A</v>
      </c>
      <c r="H22" s="12" t="str" cm="1">
        <f t="array" ref="H22">IFERROR(IF($E$7="benutzerdefiniert",_xlfn.IFS(F22&gt;=$E$9,4,AND(F22&lt;$E$9,F22&gt;=$E$10),3,AND(F22&lt;$E$10,F22&gt;=$E$11),2,TRUE(),1),
_xlfn.IFS(AND(F22&lt;_xlfn.XLOOKUP($E$7,'Risiko-Relevanz-Analyse'!$AT$8:$AV$8,'Risiko-Relevanz-Analyse'!$AT$9:$AV$9),F22&gt;=_xlfn.XLOOKUP($E$7,'Risiko-Relevanz-Analyse'!$AT$8:$AV$8,'Risiko-Relevanz-Analyse'!$AT$10:$AV$10)),'Risiko-Relevanz-Analyse'!$AS$9,
AND(F22&lt;_xlfn.XLOOKUP($E$7,'Risiko-Relevanz-Analyse'!$AT$8:$AV$8,'Risiko-Relevanz-Analyse'!$AT$10:$AV$10),F22&gt;=_xlfn.XLOOKUP($E$7,'Risiko-Relevanz-Analyse'!$AT$8:$AV$8,'Risiko-Relevanz-Analyse'!$AT$11:$AV$11)),'Risiko-Relevanz-Analyse'!$AS$10,
AND(F22&lt;_xlfn.XLOOKUP($E$7,'Risiko-Relevanz-Analyse'!$AT$8:$AV$8,'Risiko-Relevanz-Analyse'!$AT$11:$AV$11),F22&gt;=_xlfn.XLOOKUP($E$7,'Risiko-Relevanz-Analyse'!$AT$8:$AV$8,'Risiko-Relevanz-Analyse'!$AT$12:$AV$12)),'Risiko-Relevanz-Analyse'!$AS$11,TRUE(),
'Risiko-Relevanz-Analyse'!$AS$12)),"")</f>
        <v/>
      </c>
      <c r="I22" s="55"/>
      <c r="J22" s="83" cm="1">
        <f t="array" ref="J22">_xlfn.IFS(AI22&gt;0.9,4,AI22&gt;0,3,AI22&gt;-0.9,2,TRUE,1)</f>
        <v>2</v>
      </c>
      <c r="K22" s="84" cm="1">
        <f t="array" ref="K22">_xlfn.IFS(AK22&lt;-0.8,1,AK22&lt;-0.1,2,AK22&lt;1,3,TRUE,4)</f>
        <v>3</v>
      </c>
      <c r="L22" s="85">
        <f t="shared" si="0"/>
        <v>3</v>
      </c>
      <c r="M22" s="55"/>
      <c r="N22" s="32" t="s">
        <v>0</v>
      </c>
      <c r="O22" s="2" t="s">
        <v>80</v>
      </c>
      <c r="P22" s="22" t="s">
        <v>6</v>
      </c>
      <c r="Q22" s="55"/>
      <c r="R22" s="38">
        <v>3</v>
      </c>
      <c r="S22" s="4">
        <v>2</v>
      </c>
      <c r="T22" s="5">
        <v>2</v>
      </c>
      <c r="U22" s="4">
        <v>2</v>
      </c>
      <c r="V22" s="5">
        <v>2</v>
      </c>
      <c r="W22" s="39">
        <v>2</v>
      </c>
      <c r="X22" s="38">
        <v>1</v>
      </c>
      <c r="Y22" s="5">
        <v>1</v>
      </c>
      <c r="Z22" s="41">
        <v>3</v>
      </c>
      <c r="AA22" s="14">
        <v>1</v>
      </c>
      <c r="AB22" s="38">
        <v>1</v>
      </c>
      <c r="AC22" s="5">
        <v>1</v>
      </c>
      <c r="AD22" s="5">
        <v>1</v>
      </c>
      <c r="AE22" s="5">
        <v>2</v>
      </c>
      <c r="AF22" s="41">
        <v>2</v>
      </c>
      <c r="AG22" s="73">
        <v>1</v>
      </c>
      <c r="AH22" s="103">
        <f t="shared" si="1"/>
        <v>1.7716666666666672</v>
      </c>
      <c r="AI22" s="103">
        <f t="shared" si="2"/>
        <v>-0.57657502024763818</v>
      </c>
      <c r="AJ22" s="106">
        <v>3.9282857776982652E-4</v>
      </c>
      <c r="AK22" s="107">
        <f t="shared" si="3"/>
        <v>0.37018801363705733</v>
      </c>
      <c r="AL22" s="55"/>
      <c r="AM22" s="35" t="s">
        <v>63</v>
      </c>
      <c r="AN22" s="85">
        <v>1</v>
      </c>
      <c r="AP22" s="109"/>
    </row>
    <row r="23" spans="1:42" ht="68.150000000000006" customHeight="1">
      <c r="A23" s="125"/>
      <c r="B23" s="119" t="s">
        <v>13</v>
      </c>
      <c r="C23" s="120"/>
      <c r="D23" s="120"/>
      <c r="E23" s="2">
        <v>7</v>
      </c>
      <c r="F23" s="66"/>
      <c r="G23" s="12" t="e">
        <f>_xlfn.XLOOKUP(H23&amp;";"&amp;L23,'Risiko-Relevanz-Analyse'!$AM$18:$AM$33,'Risiko-Relevanz-Analyse'!$AN$18:$AN$33)</f>
        <v>#N/A</v>
      </c>
      <c r="H23" s="12" t="str" cm="1">
        <f t="array" ref="H23">IFERROR(IF($E$7="benutzerdefiniert",_xlfn.IFS(F23&gt;=$E$9,4,AND(F23&lt;$E$9,F23&gt;=$E$10),3,AND(F23&lt;$E$10,F23&gt;=$E$11),2,TRUE(),1),
_xlfn.IFS(AND(F23&lt;_xlfn.XLOOKUP($E$7,'Risiko-Relevanz-Analyse'!$AT$8:$AV$8,'Risiko-Relevanz-Analyse'!$AT$9:$AV$9),F23&gt;=_xlfn.XLOOKUP($E$7,'Risiko-Relevanz-Analyse'!$AT$8:$AV$8,'Risiko-Relevanz-Analyse'!$AT$10:$AV$10)),'Risiko-Relevanz-Analyse'!$AS$9,
AND(F23&lt;_xlfn.XLOOKUP($E$7,'Risiko-Relevanz-Analyse'!$AT$8:$AV$8,'Risiko-Relevanz-Analyse'!$AT$10:$AV$10),F23&gt;=_xlfn.XLOOKUP($E$7,'Risiko-Relevanz-Analyse'!$AT$8:$AV$8,'Risiko-Relevanz-Analyse'!$AT$11:$AV$11)),'Risiko-Relevanz-Analyse'!$AS$10,
AND(F23&lt;_xlfn.XLOOKUP($E$7,'Risiko-Relevanz-Analyse'!$AT$8:$AV$8,'Risiko-Relevanz-Analyse'!$AT$11:$AV$11),F23&gt;=_xlfn.XLOOKUP($E$7,'Risiko-Relevanz-Analyse'!$AT$8:$AV$8,'Risiko-Relevanz-Analyse'!$AT$12:$AV$12)),'Risiko-Relevanz-Analyse'!$AS$11,TRUE(),
'Risiko-Relevanz-Analyse'!$AS$12)),"")</f>
        <v/>
      </c>
      <c r="I23" s="55"/>
      <c r="J23" s="83" cm="1">
        <f t="array" ref="J23">_xlfn.IFS(AI23&gt;0.9,4,AI23&gt;0,3,AI23&gt;-0.9,2,TRUE,1)</f>
        <v>2</v>
      </c>
      <c r="K23" s="84" cm="1">
        <f t="array" ref="K23">_xlfn.IFS(AK23&lt;-0.8,1,AK23&lt;-0.1,2,AK23&lt;1,3,TRUE,4)</f>
        <v>3</v>
      </c>
      <c r="L23" s="85">
        <f t="shared" si="0"/>
        <v>3</v>
      </c>
      <c r="M23" s="55"/>
      <c r="N23" s="32" t="s">
        <v>0</v>
      </c>
      <c r="O23" s="2" t="s">
        <v>9</v>
      </c>
      <c r="P23" s="22" t="s">
        <v>80</v>
      </c>
      <c r="Q23" s="55"/>
      <c r="R23" s="38">
        <v>3</v>
      </c>
      <c r="S23" s="5">
        <v>2</v>
      </c>
      <c r="T23" s="5">
        <v>2</v>
      </c>
      <c r="U23" s="5">
        <v>1</v>
      </c>
      <c r="V23" s="5">
        <v>2</v>
      </c>
      <c r="W23" s="39">
        <v>2</v>
      </c>
      <c r="X23" s="38">
        <v>1</v>
      </c>
      <c r="Y23" s="5">
        <v>1</v>
      </c>
      <c r="Z23" s="39">
        <v>1</v>
      </c>
      <c r="AA23" s="15">
        <v>1</v>
      </c>
      <c r="AB23" s="38">
        <v>1</v>
      </c>
      <c r="AC23" s="5">
        <v>1</v>
      </c>
      <c r="AD23" s="5">
        <v>2</v>
      </c>
      <c r="AE23" s="5">
        <v>2</v>
      </c>
      <c r="AF23" s="41">
        <v>3</v>
      </c>
      <c r="AG23" s="73">
        <v>0</v>
      </c>
      <c r="AH23" s="103">
        <f t="shared" si="1"/>
        <v>1.9</v>
      </c>
      <c r="AI23" s="103">
        <f t="shared" si="2"/>
        <v>-0.13149956602139204</v>
      </c>
      <c r="AJ23" s="106">
        <v>5.019909017807086E-4</v>
      </c>
      <c r="AK23" s="107">
        <f t="shared" si="3"/>
        <v>0.86406346544504853</v>
      </c>
      <c r="AL23" s="55"/>
      <c r="AM23" s="35" t="s">
        <v>64</v>
      </c>
      <c r="AN23" s="85">
        <v>2</v>
      </c>
      <c r="AP23" s="109"/>
    </row>
    <row r="24" spans="1:42" ht="68.150000000000006" customHeight="1">
      <c r="A24" s="125"/>
      <c r="B24" s="119" t="s">
        <v>14</v>
      </c>
      <c r="C24" s="120"/>
      <c r="D24" s="120"/>
      <c r="E24" s="2">
        <v>8</v>
      </c>
      <c r="F24" s="66"/>
      <c r="G24" s="12" t="e">
        <f>_xlfn.XLOOKUP(H24&amp;";"&amp;L24,'Risiko-Relevanz-Analyse'!$AM$18:$AM$33,'Risiko-Relevanz-Analyse'!$AN$18:$AN$33)</f>
        <v>#N/A</v>
      </c>
      <c r="H24" s="12" t="str" cm="1">
        <f t="array" ref="H24">IFERROR(IF($E$7="benutzerdefiniert",_xlfn.IFS(F24&gt;=$E$9,4,AND(F24&lt;$E$9,F24&gt;=$E$10),3,AND(F24&lt;$E$10,F24&gt;=$E$11),2,TRUE(),1),
_xlfn.IFS(AND(F24&lt;_xlfn.XLOOKUP($E$7,'Risiko-Relevanz-Analyse'!$AT$8:$AV$8,'Risiko-Relevanz-Analyse'!$AT$9:$AV$9),F24&gt;=_xlfn.XLOOKUP($E$7,'Risiko-Relevanz-Analyse'!$AT$8:$AV$8,'Risiko-Relevanz-Analyse'!$AT$10:$AV$10)),'Risiko-Relevanz-Analyse'!$AS$9,
AND(F24&lt;_xlfn.XLOOKUP($E$7,'Risiko-Relevanz-Analyse'!$AT$8:$AV$8,'Risiko-Relevanz-Analyse'!$AT$10:$AV$10),F24&gt;=_xlfn.XLOOKUP($E$7,'Risiko-Relevanz-Analyse'!$AT$8:$AV$8,'Risiko-Relevanz-Analyse'!$AT$11:$AV$11)),'Risiko-Relevanz-Analyse'!$AS$10,
AND(F24&lt;_xlfn.XLOOKUP($E$7,'Risiko-Relevanz-Analyse'!$AT$8:$AV$8,'Risiko-Relevanz-Analyse'!$AT$11:$AV$11),F24&gt;=_xlfn.XLOOKUP($E$7,'Risiko-Relevanz-Analyse'!$AT$8:$AV$8,'Risiko-Relevanz-Analyse'!$AT$12:$AV$12)),'Risiko-Relevanz-Analyse'!$AS$11,TRUE(),
'Risiko-Relevanz-Analyse'!$AS$12)),"")</f>
        <v/>
      </c>
      <c r="I24" s="55"/>
      <c r="J24" s="83" cm="1">
        <f t="array" ref="J24">_xlfn.IFS(AI24&gt;0.9,4,AI24&gt;0,3,AI24&gt;-0.9,2,TRUE,1)</f>
        <v>2</v>
      </c>
      <c r="K24" s="84" cm="1">
        <f t="array" ref="K24">_xlfn.IFS(AK24&lt;-0.8,1,AK24&lt;-0.1,2,AK24&lt;1,3,TRUE,4)</f>
        <v>3</v>
      </c>
      <c r="L24" s="85">
        <f t="shared" si="0"/>
        <v>3</v>
      </c>
      <c r="M24" s="55"/>
      <c r="N24" s="37" t="s">
        <v>81</v>
      </c>
      <c r="O24" s="2" t="s">
        <v>80</v>
      </c>
      <c r="P24" s="22" t="s">
        <v>80</v>
      </c>
      <c r="Q24" s="55"/>
      <c r="R24" s="40">
        <v>2</v>
      </c>
      <c r="S24" s="4">
        <v>2</v>
      </c>
      <c r="T24" s="5">
        <v>3</v>
      </c>
      <c r="U24" s="4">
        <v>3</v>
      </c>
      <c r="V24" s="5">
        <v>2</v>
      </c>
      <c r="W24" s="39">
        <v>1</v>
      </c>
      <c r="X24" s="38">
        <v>1</v>
      </c>
      <c r="Y24" s="5">
        <v>1</v>
      </c>
      <c r="Z24" s="41">
        <v>1</v>
      </c>
      <c r="AA24" s="15">
        <v>2</v>
      </c>
      <c r="AB24" s="38">
        <v>1</v>
      </c>
      <c r="AC24" s="5">
        <v>1</v>
      </c>
      <c r="AD24" s="5">
        <v>2</v>
      </c>
      <c r="AE24" s="5">
        <v>2</v>
      </c>
      <c r="AF24" s="41">
        <v>2</v>
      </c>
      <c r="AG24" s="73">
        <v>0</v>
      </c>
      <c r="AH24" s="103">
        <f t="shared" si="1"/>
        <v>1.8833333333333333</v>
      </c>
      <c r="AI24" s="103">
        <f t="shared" si="2"/>
        <v>-0.18930157306376172</v>
      </c>
      <c r="AJ24" s="106">
        <v>4.0829930212778426E-4</v>
      </c>
      <c r="AK24" s="107">
        <f t="shared" si="3"/>
        <v>0.44018112757370825</v>
      </c>
      <c r="AL24" s="55"/>
      <c r="AM24" s="35" t="s">
        <v>65</v>
      </c>
      <c r="AN24" s="85">
        <v>3</v>
      </c>
      <c r="AP24" s="109"/>
    </row>
    <row r="25" spans="1:42" ht="68.150000000000006" customHeight="1">
      <c r="A25" s="125"/>
      <c r="B25" s="119" t="s">
        <v>15</v>
      </c>
      <c r="C25" s="120"/>
      <c r="D25" s="120"/>
      <c r="E25" s="2">
        <v>9</v>
      </c>
      <c r="F25" s="66"/>
      <c r="G25" s="12" t="e">
        <f>_xlfn.XLOOKUP(H25&amp;";"&amp;L25,'Risiko-Relevanz-Analyse'!$AM$18:$AM$33,'Risiko-Relevanz-Analyse'!$AN$18:$AN$33)</f>
        <v>#N/A</v>
      </c>
      <c r="H25" s="12" t="str" cm="1">
        <f t="array" ref="H25">IFERROR(IF($E$7="benutzerdefiniert",_xlfn.IFS(F25&gt;=$E$9,4,AND(F25&lt;$E$9,F25&gt;=$E$10),3,AND(F25&lt;$E$10,F25&gt;=$E$11),2,TRUE(),1),
_xlfn.IFS(AND(F25&lt;_xlfn.XLOOKUP($E$7,'Risiko-Relevanz-Analyse'!$AT$8:$AV$8,'Risiko-Relevanz-Analyse'!$AT$9:$AV$9),F25&gt;=_xlfn.XLOOKUP($E$7,'Risiko-Relevanz-Analyse'!$AT$8:$AV$8,'Risiko-Relevanz-Analyse'!$AT$10:$AV$10)),'Risiko-Relevanz-Analyse'!$AS$9,
AND(F25&lt;_xlfn.XLOOKUP($E$7,'Risiko-Relevanz-Analyse'!$AT$8:$AV$8,'Risiko-Relevanz-Analyse'!$AT$10:$AV$10),F25&gt;=_xlfn.XLOOKUP($E$7,'Risiko-Relevanz-Analyse'!$AT$8:$AV$8,'Risiko-Relevanz-Analyse'!$AT$11:$AV$11)),'Risiko-Relevanz-Analyse'!$AS$10,
AND(F25&lt;_xlfn.XLOOKUP($E$7,'Risiko-Relevanz-Analyse'!$AT$8:$AV$8,'Risiko-Relevanz-Analyse'!$AT$11:$AV$11),F25&gt;=_xlfn.XLOOKUP($E$7,'Risiko-Relevanz-Analyse'!$AT$8:$AV$8,'Risiko-Relevanz-Analyse'!$AT$12:$AV$12)),'Risiko-Relevanz-Analyse'!$AS$11,TRUE(),
'Risiko-Relevanz-Analyse'!$AS$12)),"")</f>
        <v/>
      </c>
      <c r="I25" s="55"/>
      <c r="J25" s="83" cm="1">
        <f t="array" ref="J25">_xlfn.IFS(AI25&gt;0.9,4,AI25&gt;0,3,AI25&gt;-0.9,2,TRUE,1)</f>
        <v>4</v>
      </c>
      <c r="K25" s="84" cm="1">
        <f t="array" ref="K25">_xlfn.IFS(AK25&lt;-0.8,1,AK25&lt;-0.1,2,AK25&lt;1,3,TRUE,4)</f>
        <v>3</v>
      </c>
      <c r="L25" s="85">
        <f t="shared" si="0"/>
        <v>4</v>
      </c>
      <c r="M25" s="55"/>
      <c r="N25" s="32" t="s">
        <v>3</v>
      </c>
      <c r="O25" s="16" t="s">
        <v>88</v>
      </c>
      <c r="P25" s="21" t="s">
        <v>87</v>
      </c>
      <c r="Q25" s="55"/>
      <c r="R25" s="38">
        <v>2</v>
      </c>
      <c r="S25" s="4">
        <v>2</v>
      </c>
      <c r="T25" s="4">
        <v>3</v>
      </c>
      <c r="U25" s="4">
        <v>2</v>
      </c>
      <c r="V25" s="5">
        <v>2</v>
      </c>
      <c r="W25" s="39">
        <v>2</v>
      </c>
      <c r="X25" s="38">
        <v>3</v>
      </c>
      <c r="Y25" s="5">
        <v>3</v>
      </c>
      <c r="Z25" s="41">
        <v>3</v>
      </c>
      <c r="AA25" s="15">
        <v>3</v>
      </c>
      <c r="AB25" s="38">
        <v>3</v>
      </c>
      <c r="AC25" s="5">
        <v>2</v>
      </c>
      <c r="AD25" s="5">
        <v>3</v>
      </c>
      <c r="AE25" s="5">
        <v>3</v>
      </c>
      <c r="AF25" s="41">
        <v>3</v>
      </c>
      <c r="AG25" s="73">
        <v>1</v>
      </c>
      <c r="AH25" s="103">
        <f t="shared" si="1"/>
        <v>2.5350000000000001</v>
      </c>
      <c r="AI25" s="103">
        <f t="shared" si="2"/>
        <v>2.0707569022929015</v>
      </c>
      <c r="AJ25" s="106">
        <v>2.9692689185750618E-4</v>
      </c>
      <c r="AK25" s="107">
        <f t="shared" si="3"/>
        <v>-6.369326260229552E-2</v>
      </c>
      <c r="AL25" s="55"/>
      <c r="AM25" s="35" t="s">
        <v>66</v>
      </c>
      <c r="AN25" s="85">
        <v>3</v>
      </c>
      <c r="AP25" s="109"/>
    </row>
    <row r="26" spans="1:42" ht="68.150000000000006" customHeight="1">
      <c r="A26" s="125"/>
      <c r="B26" s="119" t="s">
        <v>16</v>
      </c>
      <c r="C26" s="120"/>
      <c r="D26" s="120"/>
      <c r="E26" s="2">
        <v>10</v>
      </c>
      <c r="F26" s="66"/>
      <c r="G26" s="12" t="e">
        <f>_xlfn.XLOOKUP(H26&amp;";"&amp;L26,'Risiko-Relevanz-Analyse'!$AM$18:$AM$33,'Risiko-Relevanz-Analyse'!$AN$18:$AN$33)</f>
        <v>#N/A</v>
      </c>
      <c r="H26" s="12" t="str" cm="1">
        <f t="array" ref="H26">IFERROR(IF($E$7="benutzerdefiniert",_xlfn.IFS(F26&gt;=$E$9,4,AND(F26&lt;$E$9,F26&gt;=$E$10),3,AND(F26&lt;$E$10,F26&gt;=$E$11),2,TRUE(),1),
_xlfn.IFS(AND(F26&lt;_xlfn.XLOOKUP($E$7,'Risiko-Relevanz-Analyse'!$AT$8:$AV$8,'Risiko-Relevanz-Analyse'!$AT$9:$AV$9),F26&gt;=_xlfn.XLOOKUP($E$7,'Risiko-Relevanz-Analyse'!$AT$8:$AV$8,'Risiko-Relevanz-Analyse'!$AT$10:$AV$10)),'Risiko-Relevanz-Analyse'!$AS$9,
AND(F26&lt;_xlfn.XLOOKUP($E$7,'Risiko-Relevanz-Analyse'!$AT$8:$AV$8,'Risiko-Relevanz-Analyse'!$AT$10:$AV$10),F26&gt;=_xlfn.XLOOKUP($E$7,'Risiko-Relevanz-Analyse'!$AT$8:$AV$8,'Risiko-Relevanz-Analyse'!$AT$11:$AV$11)),'Risiko-Relevanz-Analyse'!$AS$10,
AND(F26&lt;_xlfn.XLOOKUP($E$7,'Risiko-Relevanz-Analyse'!$AT$8:$AV$8,'Risiko-Relevanz-Analyse'!$AT$11:$AV$11),F26&gt;=_xlfn.XLOOKUP($E$7,'Risiko-Relevanz-Analyse'!$AT$8:$AV$8,'Risiko-Relevanz-Analyse'!$AT$12:$AV$12)),'Risiko-Relevanz-Analyse'!$AS$11,TRUE(),
'Risiko-Relevanz-Analyse'!$AS$12)),"")</f>
        <v/>
      </c>
      <c r="I26" s="55"/>
      <c r="J26" s="83" cm="1">
        <f t="array" ref="J26">_xlfn.IFS(AI26&gt;0.9,4,AI26&gt;0,3,AI26&gt;-0.9,2,TRUE,1)</f>
        <v>3</v>
      </c>
      <c r="K26" s="84" cm="1">
        <f t="array" ref="K26">_xlfn.IFS(AK26&lt;-0.8,1,AK26&lt;-0.1,2,AK26&lt;1,3,TRUE,4)</f>
        <v>3</v>
      </c>
      <c r="L26" s="85">
        <f t="shared" si="0"/>
        <v>4</v>
      </c>
      <c r="M26" s="55"/>
      <c r="N26" s="37" t="s">
        <v>82</v>
      </c>
      <c r="O26" s="2" t="s">
        <v>8</v>
      </c>
      <c r="P26" s="22" t="s">
        <v>6</v>
      </c>
      <c r="Q26" s="55"/>
      <c r="R26" s="40">
        <v>3</v>
      </c>
      <c r="S26" s="4">
        <v>2</v>
      </c>
      <c r="T26" s="5">
        <v>2</v>
      </c>
      <c r="U26" s="4">
        <v>1</v>
      </c>
      <c r="V26" s="5">
        <v>1</v>
      </c>
      <c r="W26" s="41">
        <v>3</v>
      </c>
      <c r="X26" s="38">
        <v>1</v>
      </c>
      <c r="Y26" s="4">
        <v>1</v>
      </c>
      <c r="Z26" s="39">
        <v>3</v>
      </c>
      <c r="AA26" s="15">
        <v>2</v>
      </c>
      <c r="AB26" s="38">
        <v>2</v>
      </c>
      <c r="AC26" s="5">
        <v>3</v>
      </c>
      <c r="AD26" s="5">
        <v>2</v>
      </c>
      <c r="AE26" s="5">
        <v>2</v>
      </c>
      <c r="AF26" s="41">
        <v>2</v>
      </c>
      <c r="AG26" s="73">
        <v>1</v>
      </c>
      <c r="AH26" s="103">
        <f t="shared" si="1"/>
        <v>2.0566666666666666</v>
      </c>
      <c r="AI26" s="103">
        <f t="shared" si="2"/>
        <v>0.41183930017688514</v>
      </c>
      <c r="AJ26" s="106">
        <v>3.4734763167366159E-4</v>
      </c>
      <c r="AK26" s="107">
        <f t="shared" si="3"/>
        <v>0.16442175677668505</v>
      </c>
      <c r="AL26" s="55"/>
      <c r="AM26" s="35" t="s">
        <v>67</v>
      </c>
      <c r="AN26" s="85">
        <v>2</v>
      </c>
      <c r="AP26" s="109"/>
    </row>
    <row r="27" spans="1:42" ht="68.150000000000006" customHeight="1">
      <c r="A27" s="125" t="s">
        <v>25</v>
      </c>
      <c r="B27" s="119" t="s">
        <v>33</v>
      </c>
      <c r="C27" s="120"/>
      <c r="D27" s="120"/>
      <c r="E27" s="2">
        <v>11</v>
      </c>
      <c r="F27" s="66"/>
      <c r="G27" s="12" t="e">
        <f>_xlfn.XLOOKUP(H27&amp;";"&amp;L27,'Risiko-Relevanz-Analyse'!$AM$18:$AM$33,'Risiko-Relevanz-Analyse'!$AN$18:$AN$33)</f>
        <v>#N/A</v>
      </c>
      <c r="H27" s="12" t="str" cm="1">
        <f t="array" ref="H27">IFERROR(IF($E$7="benutzerdefiniert",_xlfn.IFS(F27&gt;=$E$9,4,AND(F27&lt;$E$9,F27&gt;=$E$10),3,AND(F27&lt;$E$10,F27&gt;=$E$11),2,TRUE(),1),
_xlfn.IFS(AND(F27&lt;_xlfn.XLOOKUP($E$7,'Risiko-Relevanz-Analyse'!$AT$8:$AV$8,'Risiko-Relevanz-Analyse'!$AT$9:$AV$9),F27&gt;=_xlfn.XLOOKUP($E$7,'Risiko-Relevanz-Analyse'!$AT$8:$AV$8,'Risiko-Relevanz-Analyse'!$AT$10:$AV$10)),'Risiko-Relevanz-Analyse'!$AS$9,
AND(F27&lt;_xlfn.XLOOKUP($E$7,'Risiko-Relevanz-Analyse'!$AT$8:$AV$8,'Risiko-Relevanz-Analyse'!$AT$10:$AV$10),F27&gt;=_xlfn.XLOOKUP($E$7,'Risiko-Relevanz-Analyse'!$AT$8:$AV$8,'Risiko-Relevanz-Analyse'!$AT$11:$AV$11)),'Risiko-Relevanz-Analyse'!$AS$10,
AND(F27&lt;_xlfn.XLOOKUP($E$7,'Risiko-Relevanz-Analyse'!$AT$8:$AV$8,'Risiko-Relevanz-Analyse'!$AT$11:$AV$11),F27&gt;=_xlfn.XLOOKUP($E$7,'Risiko-Relevanz-Analyse'!$AT$8:$AV$8,'Risiko-Relevanz-Analyse'!$AT$12:$AV$12)),'Risiko-Relevanz-Analyse'!$AS$11,TRUE(),
'Risiko-Relevanz-Analyse'!$AS$12)),"")</f>
        <v/>
      </c>
      <c r="I27" s="55"/>
      <c r="J27" s="83" cm="1">
        <f t="array" ref="J27">_xlfn.IFS(AI27&gt;0.9,4,AI27&gt;0,3,AI27&gt;-0.9,2,TRUE,1)</f>
        <v>1</v>
      </c>
      <c r="K27" s="84" cm="1">
        <f t="array" ref="K27">_xlfn.IFS(AK27&lt;-0.8,1,AK27&lt;-0.1,2,AK27&lt;1,3,TRUE,4)</f>
        <v>2</v>
      </c>
      <c r="L27" s="85">
        <f t="shared" si="0"/>
        <v>1</v>
      </c>
      <c r="M27" s="55"/>
      <c r="N27" s="32"/>
      <c r="O27" s="2" t="s">
        <v>80</v>
      </c>
      <c r="P27" s="22" t="s">
        <v>80</v>
      </c>
      <c r="Q27" s="55"/>
      <c r="R27" s="38">
        <v>2</v>
      </c>
      <c r="S27" s="4">
        <v>2</v>
      </c>
      <c r="T27" s="5">
        <v>1</v>
      </c>
      <c r="U27" s="4">
        <v>1</v>
      </c>
      <c r="V27" s="5">
        <v>1</v>
      </c>
      <c r="W27" s="41">
        <v>2</v>
      </c>
      <c r="X27" s="38">
        <v>1</v>
      </c>
      <c r="Y27" s="5">
        <v>1</v>
      </c>
      <c r="Z27" s="41">
        <v>1</v>
      </c>
      <c r="AA27" s="15">
        <v>1</v>
      </c>
      <c r="AB27" s="38">
        <v>1</v>
      </c>
      <c r="AC27" s="5">
        <v>1</v>
      </c>
      <c r="AD27" s="5">
        <v>1</v>
      </c>
      <c r="AE27" s="5">
        <v>1</v>
      </c>
      <c r="AF27" s="41">
        <v>1</v>
      </c>
      <c r="AG27" s="73">
        <v>0</v>
      </c>
      <c r="AH27" s="103">
        <f t="shared" si="1"/>
        <v>1.25</v>
      </c>
      <c r="AI27" s="103">
        <f t="shared" si="2"/>
        <v>-2.3857778406738173</v>
      </c>
      <c r="AJ27" s="106">
        <v>1.4256477943676892E-4</v>
      </c>
      <c r="AK27" s="107">
        <f t="shared" si="3"/>
        <v>-0.76206294925561213</v>
      </c>
      <c r="AL27" s="55"/>
      <c r="AM27" s="35" t="s">
        <v>68</v>
      </c>
      <c r="AN27" s="85">
        <v>3</v>
      </c>
      <c r="AP27" s="109"/>
    </row>
    <row r="28" spans="1:42" ht="68.150000000000006" customHeight="1">
      <c r="A28" s="125"/>
      <c r="B28" s="119" t="s">
        <v>17</v>
      </c>
      <c r="C28" s="120"/>
      <c r="D28" s="120"/>
      <c r="E28" s="2">
        <v>12</v>
      </c>
      <c r="F28" s="66"/>
      <c r="G28" s="12" t="e">
        <f>_xlfn.XLOOKUP(H28&amp;";"&amp;L28,'Risiko-Relevanz-Analyse'!$AM$18:$AM$33,'Risiko-Relevanz-Analyse'!$AN$18:$AN$33)</f>
        <v>#N/A</v>
      </c>
      <c r="H28" s="12" t="str" cm="1">
        <f t="array" ref="H28">IFERROR(IF($E$7="benutzerdefiniert",_xlfn.IFS(F28&gt;=$E$9,4,AND(F28&lt;$E$9,F28&gt;=$E$10),3,AND(F28&lt;$E$10,F28&gt;=$E$11),2,TRUE(),1),
_xlfn.IFS(AND(F28&lt;_xlfn.XLOOKUP($E$7,'Risiko-Relevanz-Analyse'!$AT$8:$AV$8,'Risiko-Relevanz-Analyse'!$AT$9:$AV$9),F28&gt;=_xlfn.XLOOKUP($E$7,'Risiko-Relevanz-Analyse'!$AT$8:$AV$8,'Risiko-Relevanz-Analyse'!$AT$10:$AV$10)),'Risiko-Relevanz-Analyse'!$AS$9,
AND(F28&lt;_xlfn.XLOOKUP($E$7,'Risiko-Relevanz-Analyse'!$AT$8:$AV$8,'Risiko-Relevanz-Analyse'!$AT$10:$AV$10),F28&gt;=_xlfn.XLOOKUP($E$7,'Risiko-Relevanz-Analyse'!$AT$8:$AV$8,'Risiko-Relevanz-Analyse'!$AT$11:$AV$11)),'Risiko-Relevanz-Analyse'!$AS$10,
AND(F28&lt;_xlfn.XLOOKUP($E$7,'Risiko-Relevanz-Analyse'!$AT$8:$AV$8,'Risiko-Relevanz-Analyse'!$AT$11:$AV$11),F28&gt;=_xlfn.XLOOKUP($E$7,'Risiko-Relevanz-Analyse'!$AT$8:$AV$8,'Risiko-Relevanz-Analyse'!$AT$12:$AV$12)),'Risiko-Relevanz-Analyse'!$AS$11,TRUE(),
'Risiko-Relevanz-Analyse'!$AS$12)),"")</f>
        <v/>
      </c>
      <c r="I28" s="55"/>
      <c r="J28" s="83" cm="1">
        <f t="array" ref="J28">_xlfn.IFS(AI28&gt;0.9,4,AI28&gt;0,3,AI28&gt;-0.9,2,TRUE,1)</f>
        <v>2</v>
      </c>
      <c r="K28" s="84" cm="1">
        <f t="array" ref="K28">_xlfn.IFS(AK28&lt;-0.8,1,AK28&lt;-0.1,2,AK28&lt;1,3,TRUE,4)</f>
        <v>1</v>
      </c>
      <c r="L28" s="85">
        <f t="shared" si="0"/>
        <v>1</v>
      </c>
      <c r="M28" s="55"/>
      <c r="N28" s="32" t="s">
        <v>0</v>
      </c>
      <c r="O28" s="2" t="s">
        <v>80</v>
      </c>
      <c r="P28" s="22" t="s">
        <v>80</v>
      </c>
      <c r="Q28" s="55"/>
      <c r="R28" s="38">
        <v>3</v>
      </c>
      <c r="S28" s="4">
        <v>2</v>
      </c>
      <c r="T28" s="5">
        <v>1</v>
      </c>
      <c r="U28" s="4">
        <v>1</v>
      </c>
      <c r="V28" s="5">
        <v>2</v>
      </c>
      <c r="W28" s="39">
        <v>2</v>
      </c>
      <c r="X28" s="38">
        <v>1</v>
      </c>
      <c r="Y28" s="5">
        <v>1</v>
      </c>
      <c r="Z28" s="41">
        <v>1</v>
      </c>
      <c r="AA28" s="15">
        <v>1</v>
      </c>
      <c r="AB28" s="40">
        <v>1</v>
      </c>
      <c r="AC28" s="5">
        <v>2</v>
      </c>
      <c r="AD28" s="6">
        <v>2</v>
      </c>
      <c r="AE28" s="4">
        <v>2</v>
      </c>
      <c r="AF28" s="39">
        <v>2</v>
      </c>
      <c r="AG28" s="73">
        <v>0</v>
      </c>
      <c r="AH28" s="103">
        <f t="shared" si="1"/>
        <v>1.8166666666666664</v>
      </c>
      <c r="AI28" s="103">
        <f t="shared" si="2"/>
        <v>-0.42050960123324199</v>
      </c>
      <c r="AJ28" s="106">
        <v>3.6471106723604987E-5</v>
      </c>
      <c r="AK28" s="107">
        <f t="shared" si="3"/>
        <v>-1.2420551170658143</v>
      </c>
      <c r="AL28" s="55"/>
      <c r="AM28" s="35" t="s">
        <v>69</v>
      </c>
      <c r="AN28" s="85">
        <v>4</v>
      </c>
      <c r="AP28" s="109"/>
    </row>
    <row r="29" spans="1:42" ht="68.150000000000006" customHeight="1">
      <c r="A29" s="125"/>
      <c r="B29" s="119" t="s">
        <v>18</v>
      </c>
      <c r="C29" s="120"/>
      <c r="D29" s="120"/>
      <c r="E29" s="2">
        <v>13</v>
      </c>
      <c r="F29" s="66"/>
      <c r="G29" s="12" t="e">
        <f>_xlfn.XLOOKUP(H29&amp;";"&amp;L29,'Risiko-Relevanz-Analyse'!$AM$18:$AM$33,'Risiko-Relevanz-Analyse'!$AN$18:$AN$33)</f>
        <v>#N/A</v>
      </c>
      <c r="H29" s="12" t="str" cm="1">
        <f t="array" ref="H29">IFERROR(IF($E$7="benutzerdefiniert",_xlfn.IFS(F29&gt;=$E$9,4,AND(F29&lt;$E$9,F29&gt;=$E$10),3,AND(F29&lt;$E$10,F29&gt;=$E$11),2,TRUE(),1),
_xlfn.IFS(AND(F29&lt;_xlfn.XLOOKUP($E$7,'Risiko-Relevanz-Analyse'!$AT$8:$AV$8,'Risiko-Relevanz-Analyse'!$AT$9:$AV$9),F29&gt;=_xlfn.XLOOKUP($E$7,'Risiko-Relevanz-Analyse'!$AT$8:$AV$8,'Risiko-Relevanz-Analyse'!$AT$10:$AV$10)),'Risiko-Relevanz-Analyse'!$AS$9,
AND(F29&lt;_xlfn.XLOOKUP($E$7,'Risiko-Relevanz-Analyse'!$AT$8:$AV$8,'Risiko-Relevanz-Analyse'!$AT$10:$AV$10),F29&gt;=_xlfn.XLOOKUP($E$7,'Risiko-Relevanz-Analyse'!$AT$8:$AV$8,'Risiko-Relevanz-Analyse'!$AT$11:$AV$11)),'Risiko-Relevanz-Analyse'!$AS$10,
AND(F29&lt;_xlfn.XLOOKUP($E$7,'Risiko-Relevanz-Analyse'!$AT$8:$AV$8,'Risiko-Relevanz-Analyse'!$AT$11:$AV$11),F29&gt;=_xlfn.XLOOKUP($E$7,'Risiko-Relevanz-Analyse'!$AT$8:$AV$8,'Risiko-Relevanz-Analyse'!$AT$12:$AV$12)),'Risiko-Relevanz-Analyse'!$AS$11,TRUE(),
'Risiko-Relevanz-Analyse'!$AS$12)),"")</f>
        <v/>
      </c>
      <c r="I29" s="55"/>
      <c r="J29" s="83" cm="1">
        <f t="array" ref="J29">_xlfn.IFS(AI29&gt;0.9,4,AI29&gt;0,3,AI29&gt;-0.9,2,TRUE,1)</f>
        <v>2</v>
      </c>
      <c r="K29" s="84" cm="1">
        <f t="array" ref="K29">_xlfn.IFS(AK29&lt;-0.8,1,AK29&lt;-0.1,2,AK29&lt;1,3,TRUE,4)</f>
        <v>2</v>
      </c>
      <c r="L29" s="85">
        <f t="shared" si="0"/>
        <v>2</v>
      </c>
      <c r="M29" s="55"/>
      <c r="N29" s="32" t="s">
        <v>0</v>
      </c>
      <c r="O29" s="2" t="s">
        <v>80</v>
      </c>
      <c r="P29" s="22" t="s">
        <v>80</v>
      </c>
      <c r="Q29" s="55"/>
      <c r="R29" s="40">
        <v>3</v>
      </c>
      <c r="S29" s="5">
        <v>2</v>
      </c>
      <c r="T29" s="5">
        <v>2</v>
      </c>
      <c r="U29" s="4">
        <v>1</v>
      </c>
      <c r="V29" s="5">
        <v>1</v>
      </c>
      <c r="W29" s="41">
        <v>2</v>
      </c>
      <c r="X29" s="38">
        <v>1</v>
      </c>
      <c r="Y29" s="5">
        <v>1</v>
      </c>
      <c r="Z29" s="41">
        <v>1</v>
      </c>
      <c r="AA29" s="15">
        <v>1</v>
      </c>
      <c r="AB29" s="51">
        <v>1</v>
      </c>
      <c r="AC29" s="6">
        <v>2</v>
      </c>
      <c r="AD29" s="6">
        <v>2</v>
      </c>
      <c r="AE29" s="6">
        <v>2</v>
      </c>
      <c r="AF29" s="42">
        <v>2</v>
      </c>
      <c r="AG29" s="73">
        <v>0</v>
      </c>
      <c r="AH29" s="103">
        <f t="shared" si="1"/>
        <v>1.8166666666666664</v>
      </c>
      <c r="AI29" s="103">
        <f t="shared" si="2"/>
        <v>-0.42050960123324199</v>
      </c>
      <c r="AJ29" s="106">
        <v>1.4462905045814958E-4</v>
      </c>
      <c r="AK29" s="107">
        <f t="shared" si="3"/>
        <v>-0.75272371254939385</v>
      </c>
      <c r="AL29" s="55"/>
      <c r="AM29" s="35" t="s">
        <v>70</v>
      </c>
      <c r="AN29" s="85">
        <v>4</v>
      </c>
      <c r="AP29" s="109"/>
    </row>
    <row r="30" spans="1:42" ht="68.150000000000006" customHeight="1">
      <c r="A30" s="125"/>
      <c r="B30" s="119" t="s">
        <v>19</v>
      </c>
      <c r="C30" s="120"/>
      <c r="D30" s="120"/>
      <c r="E30" s="2">
        <v>14</v>
      </c>
      <c r="F30" s="66"/>
      <c r="G30" s="12" t="e">
        <f>_xlfn.XLOOKUP(H30&amp;";"&amp;L30,'Risiko-Relevanz-Analyse'!$AM$18:$AM$33,'Risiko-Relevanz-Analyse'!$AN$18:$AN$33)</f>
        <v>#N/A</v>
      </c>
      <c r="H30" s="12" t="str" cm="1">
        <f t="array" ref="H30">IFERROR(IF($E$7="benutzerdefiniert",_xlfn.IFS(F30&gt;=$E$9,4,AND(F30&lt;$E$9,F30&gt;=$E$10),3,AND(F30&lt;$E$10,F30&gt;=$E$11),2,TRUE(),1),
_xlfn.IFS(AND(F30&lt;_xlfn.XLOOKUP($E$7,'Risiko-Relevanz-Analyse'!$AT$8:$AV$8,'Risiko-Relevanz-Analyse'!$AT$9:$AV$9),F30&gt;=_xlfn.XLOOKUP($E$7,'Risiko-Relevanz-Analyse'!$AT$8:$AV$8,'Risiko-Relevanz-Analyse'!$AT$10:$AV$10)),'Risiko-Relevanz-Analyse'!$AS$9,
AND(F30&lt;_xlfn.XLOOKUP($E$7,'Risiko-Relevanz-Analyse'!$AT$8:$AV$8,'Risiko-Relevanz-Analyse'!$AT$10:$AV$10),F30&gt;=_xlfn.XLOOKUP($E$7,'Risiko-Relevanz-Analyse'!$AT$8:$AV$8,'Risiko-Relevanz-Analyse'!$AT$11:$AV$11)),'Risiko-Relevanz-Analyse'!$AS$10,
AND(F30&lt;_xlfn.XLOOKUP($E$7,'Risiko-Relevanz-Analyse'!$AT$8:$AV$8,'Risiko-Relevanz-Analyse'!$AT$11:$AV$11),F30&gt;=_xlfn.XLOOKUP($E$7,'Risiko-Relevanz-Analyse'!$AT$8:$AV$8,'Risiko-Relevanz-Analyse'!$AT$12:$AV$12)),'Risiko-Relevanz-Analyse'!$AS$11,TRUE(),
'Risiko-Relevanz-Analyse'!$AS$12)),"")</f>
        <v/>
      </c>
      <c r="I30" s="55"/>
      <c r="J30" s="83" cm="1">
        <f t="array" ref="J30">_xlfn.IFS(AI30&gt;0.9,4,AI30&gt;0,3,AI30&gt;-0.9,2,TRUE,1)</f>
        <v>2</v>
      </c>
      <c r="K30" s="84" cm="1">
        <f t="array" ref="K30">_xlfn.IFS(AK30&lt;-0.8,1,AK30&lt;-0.1,2,AK30&lt;1,3,TRUE,4)</f>
        <v>1</v>
      </c>
      <c r="L30" s="85">
        <f t="shared" si="0"/>
        <v>1</v>
      </c>
      <c r="M30" s="55"/>
      <c r="N30" s="37" t="s">
        <v>82</v>
      </c>
      <c r="O30" s="2" t="s">
        <v>80</v>
      </c>
      <c r="P30" s="22" t="s">
        <v>80</v>
      </c>
      <c r="Q30" s="55"/>
      <c r="R30" s="38">
        <v>3</v>
      </c>
      <c r="S30" s="5">
        <v>2</v>
      </c>
      <c r="T30" s="5">
        <v>1</v>
      </c>
      <c r="U30" s="4">
        <v>1</v>
      </c>
      <c r="V30" s="5">
        <v>1</v>
      </c>
      <c r="W30" s="39">
        <v>3</v>
      </c>
      <c r="X30" s="38">
        <v>1</v>
      </c>
      <c r="Y30" s="5">
        <v>1</v>
      </c>
      <c r="Z30" s="41">
        <v>1</v>
      </c>
      <c r="AA30" s="15">
        <v>2</v>
      </c>
      <c r="AB30" s="38">
        <v>1</v>
      </c>
      <c r="AC30" s="5">
        <v>1</v>
      </c>
      <c r="AD30" s="5">
        <v>2</v>
      </c>
      <c r="AE30" s="5">
        <v>2</v>
      </c>
      <c r="AF30" s="41">
        <v>2</v>
      </c>
      <c r="AG30" s="73">
        <v>0</v>
      </c>
      <c r="AH30" s="103">
        <f t="shared" si="1"/>
        <v>1.7166666666666666</v>
      </c>
      <c r="AI30" s="103">
        <f t="shared" si="2"/>
        <v>-0.7673216434874609</v>
      </c>
      <c r="AJ30" s="106">
        <v>9.0338480285810161E-5</v>
      </c>
      <c r="AK30" s="107">
        <f t="shared" si="3"/>
        <v>-0.99834673418921061</v>
      </c>
      <c r="AL30" s="55"/>
      <c r="AM30" s="35" t="s">
        <v>71</v>
      </c>
      <c r="AN30" s="85">
        <v>3</v>
      </c>
      <c r="AP30" s="109"/>
    </row>
    <row r="31" spans="1:42" ht="68.150000000000006" customHeight="1">
      <c r="A31" s="125"/>
      <c r="B31" s="119" t="s">
        <v>20</v>
      </c>
      <c r="C31" s="120"/>
      <c r="D31" s="120"/>
      <c r="E31" s="2">
        <v>15</v>
      </c>
      <c r="F31" s="66"/>
      <c r="G31" s="12" t="e">
        <f>_xlfn.XLOOKUP(H31&amp;";"&amp;L31,'Risiko-Relevanz-Analyse'!$AM$18:$AM$33,'Risiko-Relevanz-Analyse'!$AN$18:$AN$33)</f>
        <v>#N/A</v>
      </c>
      <c r="H31" s="12" t="str" cm="1">
        <f t="array" ref="H31">IFERROR(IF($E$7="benutzerdefiniert",_xlfn.IFS(F31&gt;=$E$9,4,AND(F31&lt;$E$9,F31&gt;=$E$10),3,AND(F31&lt;$E$10,F31&gt;=$E$11),2,TRUE(),1),
_xlfn.IFS(AND(F31&lt;_xlfn.XLOOKUP($E$7,'Risiko-Relevanz-Analyse'!$AT$8:$AV$8,'Risiko-Relevanz-Analyse'!$AT$9:$AV$9),F31&gt;=_xlfn.XLOOKUP($E$7,'Risiko-Relevanz-Analyse'!$AT$8:$AV$8,'Risiko-Relevanz-Analyse'!$AT$10:$AV$10)),'Risiko-Relevanz-Analyse'!$AS$9,
AND(F31&lt;_xlfn.XLOOKUP($E$7,'Risiko-Relevanz-Analyse'!$AT$8:$AV$8,'Risiko-Relevanz-Analyse'!$AT$10:$AV$10),F31&gt;=_xlfn.XLOOKUP($E$7,'Risiko-Relevanz-Analyse'!$AT$8:$AV$8,'Risiko-Relevanz-Analyse'!$AT$11:$AV$11)),'Risiko-Relevanz-Analyse'!$AS$10,
AND(F31&lt;_xlfn.XLOOKUP($E$7,'Risiko-Relevanz-Analyse'!$AT$8:$AV$8,'Risiko-Relevanz-Analyse'!$AT$11:$AV$11),F31&gt;=_xlfn.XLOOKUP($E$7,'Risiko-Relevanz-Analyse'!$AT$8:$AV$8,'Risiko-Relevanz-Analyse'!$AT$12:$AV$12)),'Risiko-Relevanz-Analyse'!$AS$11,TRUE(),
'Risiko-Relevanz-Analyse'!$AS$12)),"")</f>
        <v/>
      </c>
      <c r="I31" s="55"/>
      <c r="J31" s="83" cm="1">
        <f t="array" ref="J31">_xlfn.IFS(AI31&gt;0.9,4,AI31&gt;0,3,AI31&gt;-0.9,2,TRUE,1)</f>
        <v>2</v>
      </c>
      <c r="K31" s="84" cm="1">
        <f t="array" ref="K31">_xlfn.IFS(AK31&lt;-0.8,1,AK31&lt;-0.1,2,AK31&lt;1,3,TRUE,4)</f>
        <v>2</v>
      </c>
      <c r="L31" s="85">
        <f t="shared" si="0"/>
        <v>2</v>
      </c>
      <c r="M31" s="55"/>
      <c r="N31" s="37" t="s">
        <v>0</v>
      </c>
      <c r="O31" s="2" t="s">
        <v>80</v>
      </c>
      <c r="P31" s="22" t="s">
        <v>80</v>
      </c>
      <c r="Q31" s="55"/>
      <c r="R31" s="40">
        <v>3</v>
      </c>
      <c r="S31" s="4">
        <v>2</v>
      </c>
      <c r="T31" s="5">
        <v>1</v>
      </c>
      <c r="U31" s="4">
        <v>1</v>
      </c>
      <c r="V31" s="5">
        <v>1</v>
      </c>
      <c r="W31" s="41">
        <v>2</v>
      </c>
      <c r="X31" s="40">
        <v>1</v>
      </c>
      <c r="Y31" s="5">
        <v>1</v>
      </c>
      <c r="Z31" s="41">
        <v>1</v>
      </c>
      <c r="AA31" s="15">
        <v>1</v>
      </c>
      <c r="AB31" s="38">
        <v>1</v>
      </c>
      <c r="AC31" s="5">
        <v>2</v>
      </c>
      <c r="AD31" s="5">
        <v>2</v>
      </c>
      <c r="AE31" s="5">
        <v>2</v>
      </c>
      <c r="AF31" s="41">
        <v>2</v>
      </c>
      <c r="AG31" s="73">
        <v>0</v>
      </c>
      <c r="AH31" s="103">
        <f t="shared" si="1"/>
        <v>1.7333333333333332</v>
      </c>
      <c r="AI31" s="103">
        <f t="shared" si="2"/>
        <v>-0.7095196364450912</v>
      </c>
      <c r="AJ31" s="106">
        <v>1.8019097864755513E-4</v>
      </c>
      <c r="AK31" s="107">
        <f t="shared" si="3"/>
        <v>-0.59183337322357321</v>
      </c>
      <c r="AL31" s="55"/>
      <c r="AM31" s="35" t="s">
        <v>72</v>
      </c>
      <c r="AN31" s="85">
        <v>3</v>
      </c>
      <c r="AP31" s="109"/>
    </row>
    <row r="32" spans="1:42" ht="68.150000000000006" customHeight="1">
      <c r="A32" s="125" t="s">
        <v>26</v>
      </c>
      <c r="B32" s="119" t="s">
        <v>21</v>
      </c>
      <c r="C32" s="120"/>
      <c r="D32" s="120"/>
      <c r="E32" s="2">
        <v>16</v>
      </c>
      <c r="F32" s="66"/>
      <c r="G32" s="12" t="e">
        <f>_xlfn.XLOOKUP(H32&amp;";"&amp;L32,'Risiko-Relevanz-Analyse'!$AM$18:$AM$33,'Risiko-Relevanz-Analyse'!$AN$18:$AN$33)</f>
        <v>#N/A</v>
      </c>
      <c r="H32" s="12" t="str" cm="1">
        <f t="array" ref="H32">IFERROR(IF($E$7="benutzerdefiniert",_xlfn.IFS(F32&gt;=$E$9,4,AND(F32&lt;$E$9,F32&gt;=$E$10),3,AND(F32&lt;$E$10,F32&gt;=$E$11),2,TRUE(),1),
_xlfn.IFS(AND(F32&lt;_xlfn.XLOOKUP($E$7,'Risiko-Relevanz-Analyse'!$AT$8:$AV$8,'Risiko-Relevanz-Analyse'!$AT$9:$AV$9),F32&gt;=_xlfn.XLOOKUP($E$7,'Risiko-Relevanz-Analyse'!$AT$8:$AV$8,'Risiko-Relevanz-Analyse'!$AT$10:$AV$10)),'Risiko-Relevanz-Analyse'!$AS$9,
AND(F32&lt;_xlfn.XLOOKUP($E$7,'Risiko-Relevanz-Analyse'!$AT$8:$AV$8,'Risiko-Relevanz-Analyse'!$AT$10:$AV$10),F32&gt;=_xlfn.XLOOKUP($E$7,'Risiko-Relevanz-Analyse'!$AT$8:$AV$8,'Risiko-Relevanz-Analyse'!$AT$11:$AV$11)),'Risiko-Relevanz-Analyse'!$AS$10,
AND(F32&lt;_xlfn.XLOOKUP($E$7,'Risiko-Relevanz-Analyse'!$AT$8:$AV$8,'Risiko-Relevanz-Analyse'!$AT$11:$AV$11),F32&gt;=_xlfn.XLOOKUP($E$7,'Risiko-Relevanz-Analyse'!$AT$8:$AV$8,'Risiko-Relevanz-Analyse'!$AT$12:$AV$12)),'Risiko-Relevanz-Analyse'!$AS$11,TRUE(),
'Risiko-Relevanz-Analyse'!$AS$12)),"")</f>
        <v/>
      </c>
      <c r="I32" s="55"/>
      <c r="J32" s="83" cm="1">
        <f t="array" ref="J32">_xlfn.IFS(AI32&gt;0.9,4,AI32&gt;0,3,AI32&gt;-0.9,2,TRUE,1)</f>
        <v>1</v>
      </c>
      <c r="K32" s="84" cm="1">
        <f t="array" ref="K32">_xlfn.IFS(AK32&lt;-0.8,1,AK32&lt;-0.1,2,AK32&lt;1,3,TRUE,4)</f>
        <v>4</v>
      </c>
      <c r="L32" s="85">
        <f t="shared" si="0"/>
        <v>3</v>
      </c>
      <c r="M32" s="55"/>
      <c r="N32" s="32" t="s">
        <v>4</v>
      </c>
      <c r="O32" s="2" t="s">
        <v>80</v>
      </c>
      <c r="P32" s="22" t="s">
        <v>80</v>
      </c>
      <c r="Q32" s="55"/>
      <c r="R32" s="40">
        <v>2</v>
      </c>
      <c r="S32" s="4">
        <v>2</v>
      </c>
      <c r="T32" s="5">
        <v>1</v>
      </c>
      <c r="U32" s="4">
        <v>1</v>
      </c>
      <c r="V32" s="5">
        <v>2</v>
      </c>
      <c r="W32" s="41">
        <v>3</v>
      </c>
      <c r="X32" s="38">
        <v>1</v>
      </c>
      <c r="Y32" s="5">
        <v>1</v>
      </c>
      <c r="Z32" s="39">
        <v>1</v>
      </c>
      <c r="AA32" s="14">
        <v>1</v>
      </c>
      <c r="AB32" s="38">
        <v>1</v>
      </c>
      <c r="AC32" s="5">
        <v>1</v>
      </c>
      <c r="AD32" s="5">
        <v>1</v>
      </c>
      <c r="AE32" s="5">
        <v>2</v>
      </c>
      <c r="AF32" s="41">
        <v>2</v>
      </c>
      <c r="AG32" s="73">
        <v>0</v>
      </c>
      <c r="AH32" s="103">
        <f t="shared" si="1"/>
        <v>1.6166666666666667</v>
      </c>
      <c r="AI32" s="103">
        <f t="shared" si="2"/>
        <v>-1.1141336857416797</v>
      </c>
      <c r="AJ32" s="106">
        <v>8.7082295779961647E-4</v>
      </c>
      <c r="AK32" s="107">
        <f t="shared" si="3"/>
        <v>2.5327444866502189</v>
      </c>
      <c r="AL32" s="55"/>
      <c r="AM32" s="35" t="s">
        <v>73</v>
      </c>
      <c r="AN32" s="85">
        <v>4</v>
      </c>
      <c r="AP32" s="109"/>
    </row>
    <row r="33" spans="1:42" ht="68.150000000000006" customHeight="1" thickBot="1">
      <c r="A33" s="126"/>
      <c r="B33" s="119" t="s">
        <v>22</v>
      </c>
      <c r="C33" s="120"/>
      <c r="D33" s="120"/>
      <c r="E33" s="2">
        <v>17</v>
      </c>
      <c r="F33" s="66"/>
      <c r="G33" s="12" t="e">
        <f>_xlfn.XLOOKUP(H33&amp;";"&amp;L33,'Risiko-Relevanz-Analyse'!$AM$18:$AM$33,'Risiko-Relevanz-Analyse'!$AN$18:$AN$33)</f>
        <v>#N/A</v>
      </c>
      <c r="H33" s="12" t="str" cm="1">
        <f t="array" ref="H33">IFERROR(IF($E$7="benutzerdefiniert",_xlfn.IFS(F33&gt;=$E$9,4,AND(F33&lt;$E$9,F33&gt;=$E$10),3,AND(F33&lt;$E$10,F33&gt;=$E$11),2,TRUE(),1),
_xlfn.IFS(AND(F33&lt;_xlfn.XLOOKUP($E$7,'Risiko-Relevanz-Analyse'!$AT$8:$AV$8,'Risiko-Relevanz-Analyse'!$AT$9:$AV$9),F33&gt;=_xlfn.XLOOKUP($E$7,'Risiko-Relevanz-Analyse'!$AT$8:$AV$8,'Risiko-Relevanz-Analyse'!$AT$10:$AV$10)),'Risiko-Relevanz-Analyse'!$AS$9,
AND(F33&lt;_xlfn.XLOOKUP($E$7,'Risiko-Relevanz-Analyse'!$AT$8:$AV$8,'Risiko-Relevanz-Analyse'!$AT$10:$AV$10),F33&gt;=_xlfn.XLOOKUP($E$7,'Risiko-Relevanz-Analyse'!$AT$8:$AV$8,'Risiko-Relevanz-Analyse'!$AT$11:$AV$11)),'Risiko-Relevanz-Analyse'!$AS$10,
AND(F33&lt;_xlfn.XLOOKUP($E$7,'Risiko-Relevanz-Analyse'!$AT$8:$AV$8,'Risiko-Relevanz-Analyse'!$AT$11:$AV$11),F33&gt;=_xlfn.XLOOKUP($E$7,'Risiko-Relevanz-Analyse'!$AT$8:$AV$8,'Risiko-Relevanz-Analyse'!$AT$12:$AV$12)),'Risiko-Relevanz-Analyse'!$AS$11,TRUE(),
'Risiko-Relevanz-Analyse'!$AS$12)),"")</f>
        <v/>
      </c>
      <c r="I33" s="55"/>
      <c r="J33" s="83" cm="1">
        <f t="array" ref="J33">_xlfn.IFS(AI33&gt;0.9,4,AI33&gt;0,3,AI33&gt;-0.9,2,TRUE,1)</f>
        <v>4</v>
      </c>
      <c r="K33" s="84" cm="1">
        <f t="array" ref="K33">_xlfn.IFS(AK33&lt;-0.8,1,AK33&lt;-0.1,2,AK33&lt;1,3,TRUE,4)</f>
        <v>3</v>
      </c>
      <c r="L33" s="85">
        <f t="shared" si="0"/>
        <v>4</v>
      </c>
      <c r="M33" s="55"/>
      <c r="N33" s="32" t="s">
        <v>4</v>
      </c>
      <c r="O33" s="16" t="s">
        <v>86</v>
      </c>
      <c r="P33" s="22" t="s">
        <v>5</v>
      </c>
      <c r="Q33" s="55"/>
      <c r="R33" s="38">
        <v>2</v>
      </c>
      <c r="S33" s="4">
        <v>2</v>
      </c>
      <c r="T33" s="5">
        <v>2</v>
      </c>
      <c r="U33" s="4">
        <v>1</v>
      </c>
      <c r="V33" s="5">
        <v>1</v>
      </c>
      <c r="W33" s="39">
        <v>3</v>
      </c>
      <c r="X33" s="38">
        <v>3</v>
      </c>
      <c r="Y33" s="5">
        <v>2</v>
      </c>
      <c r="Z33" s="39">
        <v>2</v>
      </c>
      <c r="AA33" s="15">
        <v>3</v>
      </c>
      <c r="AB33" s="38">
        <v>3</v>
      </c>
      <c r="AC33" s="5">
        <v>3</v>
      </c>
      <c r="AD33" s="5">
        <v>3</v>
      </c>
      <c r="AE33" s="5">
        <v>2</v>
      </c>
      <c r="AF33" s="41">
        <v>3</v>
      </c>
      <c r="AG33" s="73">
        <v>1</v>
      </c>
      <c r="AH33" s="103">
        <f t="shared" si="1"/>
        <v>2.3183333333333334</v>
      </c>
      <c r="AI33" s="103">
        <f t="shared" si="2"/>
        <v>1.3193308107420927</v>
      </c>
      <c r="AJ33" s="106">
        <v>3.0901240253276027E-4</v>
      </c>
      <c r="AK33" s="110">
        <f t="shared" si="3"/>
        <v>-9.015633675337073E-3</v>
      </c>
      <c r="AL33" s="55"/>
      <c r="AM33" s="36" t="s">
        <v>74</v>
      </c>
      <c r="AN33" s="88">
        <v>4</v>
      </c>
      <c r="AP33" s="109"/>
    </row>
    <row r="34" spans="1:42" ht="68.150000000000006" customHeight="1">
      <c r="A34" s="126"/>
      <c r="B34" s="119" t="s">
        <v>132</v>
      </c>
      <c r="C34" s="120"/>
      <c r="D34" s="120"/>
      <c r="E34" s="2">
        <v>18</v>
      </c>
      <c r="F34" s="66"/>
      <c r="G34" s="12" t="e">
        <f>_xlfn.XLOOKUP(H34&amp;";"&amp;L34,'Risiko-Relevanz-Analyse'!$AM$18:$AM$33,'Risiko-Relevanz-Analyse'!$AN$18:$AN$33)</f>
        <v>#N/A</v>
      </c>
      <c r="H34" s="12" t="str" cm="1">
        <f t="array" ref="H34">IFERROR(IF($E$7="benutzerdefiniert",_xlfn.IFS(F34&gt;=$E$9,4,AND(F34&lt;$E$9,F34&gt;=$E$10),3,AND(F34&lt;$E$10,F34&gt;=$E$11),2,TRUE(),1),
_xlfn.IFS(AND(F34&lt;_xlfn.XLOOKUP($E$7,'Risiko-Relevanz-Analyse'!$AT$8:$AV$8,'Risiko-Relevanz-Analyse'!$AT$9:$AV$9),F34&gt;=_xlfn.XLOOKUP($E$7,'Risiko-Relevanz-Analyse'!$AT$8:$AV$8,'Risiko-Relevanz-Analyse'!$AT$10:$AV$10)),'Risiko-Relevanz-Analyse'!$AS$9,
AND(F34&lt;_xlfn.XLOOKUP($E$7,'Risiko-Relevanz-Analyse'!$AT$8:$AV$8,'Risiko-Relevanz-Analyse'!$AT$10:$AV$10),F34&gt;=_xlfn.XLOOKUP($E$7,'Risiko-Relevanz-Analyse'!$AT$8:$AV$8,'Risiko-Relevanz-Analyse'!$AT$11:$AV$11)),'Risiko-Relevanz-Analyse'!$AS$10,
AND(F34&lt;_xlfn.XLOOKUP($E$7,'Risiko-Relevanz-Analyse'!$AT$8:$AV$8,'Risiko-Relevanz-Analyse'!$AT$11:$AV$11),F34&gt;=_xlfn.XLOOKUP($E$7,'Risiko-Relevanz-Analyse'!$AT$8:$AV$8,'Risiko-Relevanz-Analyse'!$AT$12:$AV$12)),'Risiko-Relevanz-Analyse'!$AS$11,TRUE(),
'Risiko-Relevanz-Analyse'!$AS$12)),"")</f>
        <v/>
      </c>
      <c r="I34" s="55"/>
      <c r="J34" s="83" cm="1">
        <f t="array" ref="J34">_xlfn.IFS(AI34&gt;0.9,4,AI34&gt;0,3,AI34&gt;-0.9,2,TRUE,1)</f>
        <v>2</v>
      </c>
      <c r="K34" s="84" cm="1">
        <f t="array" ref="K34">_xlfn.IFS(AK34&lt;-0.8,1,AK34&lt;-0.1,2,AK34&lt;1,3,TRUE,4)</f>
        <v>2</v>
      </c>
      <c r="L34" s="85">
        <f t="shared" si="0"/>
        <v>2</v>
      </c>
      <c r="M34" s="55"/>
      <c r="N34" s="37" t="s">
        <v>79</v>
      </c>
      <c r="O34" s="2" t="s">
        <v>80</v>
      </c>
      <c r="P34" s="22" t="s">
        <v>80</v>
      </c>
      <c r="Q34" s="55"/>
      <c r="R34" s="38">
        <v>3</v>
      </c>
      <c r="S34" s="5">
        <v>2</v>
      </c>
      <c r="T34" s="5">
        <v>2</v>
      </c>
      <c r="U34" s="5">
        <v>2</v>
      </c>
      <c r="V34" s="5">
        <v>3</v>
      </c>
      <c r="W34" s="41">
        <v>2</v>
      </c>
      <c r="X34" s="38">
        <v>1</v>
      </c>
      <c r="Y34" s="5">
        <v>1</v>
      </c>
      <c r="Z34" s="41">
        <v>1</v>
      </c>
      <c r="AA34" s="14">
        <v>1</v>
      </c>
      <c r="AB34" s="51">
        <v>1</v>
      </c>
      <c r="AC34" s="6">
        <v>1</v>
      </c>
      <c r="AD34" s="6">
        <v>1</v>
      </c>
      <c r="AE34" s="6">
        <v>2</v>
      </c>
      <c r="AF34" s="42">
        <v>2</v>
      </c>
      <c r="AG34" s="73">
        <v>0</v>
      </c>
      <c r="AH34" s="103">
        <f t="shared" si="1"/>
        <v>1.8666666666666667</v>
      </c>
      <c r="AI34" s="103">
        <f t="shared" si="2"/>
        <v>-0.2471035801061314</v>
      </c>
      <c r="AJ34" s="106">
        <v>2.25211387053906E-4</v>
      </c>
      <c r="AK34" s="107">
        <f t="shared" si="3"/>
        <v>-0.38815069475613484</v>
      </c>
      <c r="AL34" s="55"/>
      <c r="AP34" s="109"/>
    </row>
    <row r="35" spans="1:42" ht="68.150000000000006" customHeight="1">
      <c r="A35" s="126"/>
      <c r="B35" s="119" t="s">
        <v>23</v>
      </c>
      <c r="C35" s="120"/>
      <c r="D35" s="120"/>
      <c r="E35" s="2">
        <v>19</v>
      </c>
      <c r="F35" s="66"/>
      <c r="G35" s="12" t="e">
        <f>_xlfn.XLOOKUP(H35&amp;";"&amp;L35,'Risiko-Relevanz-Analyse'!$AM$18:$AM$33,'Risiko-Relevanz-Analyse'!$AN$18:$AN$33)</f>
        <v>#N/A</v>
      </c>
      <c r="H35" s="12" t="str" cm="1">
        <f t="array" ref="H35">IFERROR(IF($E$7="benutzerdefiniert",_xlfn.IFS(F35&gt;=$E$9,4,AND(F35&lt;$E$9,F35&gt;=$E$10),3,AND(F35&lt;$E$10,F35&gt;=$E$11),2,TRUE(),1),
_xlfn.IFS(AND(F35&lt;_xlfn.XLOOKUP($E$7,'Risiko-Relevanz-Analyse'!$AT$8:$AV$8,'Risiko-Relevanz-Analyse'!$AT$9:$AV$9),F35&gt;=_xlfn.XLOOKUP($E$7,'Risiko-Relevanz-Analyse'!$AT$8:$AV$8,'Risiko-Relevanz-Analyse'!$AT$10:$AV$10)),'Risiko-Relevanz-Analyse'!$AS$9,
AND(F35&lt;_xlfn.XLOOKUP($E$7,'Risiko-Relevanz-Analyse'!$AT$8:$AV$8,'Risiko-Relevanz-Analyse'!$AT$10:$AV$10),F35&gt;=_xlfn.XLOOKUP($E$7,'Risiko-Relevanz-Analyse'!$AT$8:$AV$8,'Risiko-Relevanz-Analyse'!$AT$11:$AV$11)),'Risiko-Relevanz-Analyse'!$AS$10,
AND(F35&lt;_xlfn.XLOOKUP($E$7,'Risiko-Relevanz-Analyse'!$AT$8:$AV$8,'Risiko-Relevanz-Analyse'!$AT$11:$AV$11),F35&gt;=_xlfn.XLOOKUP($E$7,'Risiko-Relevanz-Analyse'!$AT$8:$AV$8,'Risiko-Relevanz-Analyse'!$AT$12:$AV$12)),'Risiko-Relevanz-Analyse'!$AS$11,TRUE(),
'Risiko-Relevanz-Analyse'!$AS$12)),"")</f>
        <v/>
      </c>
      <c r="I35" s="55"/>
      <c r="J35" s="83" cm="1">
        <f t="array" ref="J35">_xlfn.IFS(AI35&gt;0.9,4,AI35&gt;0,3,AI35&gt;-0.9,2,TRUE,1)</f>
        <v>4</v>
      </c>
      <c r="K35" s="84" cm="1">
        <f t="array" ref="K35">_xlfn.IFS(AK35&lt;-0.8,1,AK35&lt;-0.1,2,AK35&lt;1,3,TRUE,4)</f>
        <v>4</v>
      </c>
      <c r="L35" s="85">
        <f t="shared" si="0"/>
        <v>4</v>
      </c>
      <c r="M35" s="55"/>
      <c r="N35" s="37" t="s">
        <v>82</v>
      </c>
      <c r="O35" s="16" t="s">
        <v>85</v>
      </c>
      <c r="P35" s="22" t="s">
        <v>80</v>
      </c>
      <c r="Q35" s="55"/>
      <c r="R35" s="38">
        <v>3</v>
      </c>
      <c r="S35" s="5">
        <v>2</v>
      </c>
      <c r="T35" s="5">
        <v>2</v>
      </c>
      <c r="U35" s="4">
        <v>1</v>
      </c>
      <c r="V35" s="5">
        <v>2</v>
      </c>
      <c r="W35" s="39">
        <v>3</v>
      </c>
      <c r="X35" s="38">
        <v>1</v>
      </c>
      <c r="Y35" s="5">
        <v>1</v>
      </c>
      <c r="Z35" s="41">
        <v>1</v>
      </c>
      <c r="AA35" s="14">
        <v>1</v>
      </c>
      <c r="AB35" s="38">
        <v>2</v>
      </c>
      <c r="AC35" s="5">
        <v>2</v>
      </c>
      <c r="AD35" s="5">
        <v>3</v>
      </c>
      <c r="AE35" s="5">
        <v>3</v>
      </c>
      <c r="AF35" s="41">
        <v>2</v>
      </c>
      <c r="AG35" s="73">
        <v>0</v>
      </c>
      <c r="AH35" s="103">
        <f t="shared" si="1"/>
        <v>2.2833333333333332</v>
      </c>
      <c r="AI35" s="103">
        <f t="shared" si="2"/>
        <v>1.1979465959531153</v>
      </c>
      <c r="AJ35" s="106">
        <v>8.6262848085877299E-4</v>
      </c>
      <c r="AK35" s="107">
        <f t="shared" si="3"/>
        <v>2.4956707889421548</v>
      </c>
      <c r="AL35" s="55"/>
      <c r="AP35" s="109"/>
    </row>
    <row r="36" spans="1:42" ht="68.150000000000006" customHeight="1" thickBot="1">
      <c r="A36" s="127"/>
      <c r="B36" s="130" t="s">
        <v>24</v>
      </c>
      <c r="C36" s="131"/>
      <c r="D36" s="131"/>
      <c r="E36" s="23">
        <v>20</v>
      </c>
      <c r="F36" s="67"/>
      <c r="G36" s="13" t="e">
        <f>_xlfn.XLOOKUP(H36&amp;";"&amp;L36,'Risiko-Relevanz-Analyse'!$AM$18:$AM$33,'Risiko-Relevanz-Analyse'!$AN$18:$AN$33)</f>
        <v>#N/A</v>
      </c>
      <c r="H36" s="13" t="str" cm="1">
        <f t="array" ref="H36">IFERROR(IF($E$7="benutzerdefiniert",_xlfn.IFS(F36&gt;=$E$9,4,AND(F36&lt;$E$9,F36&gt;=$E$10),3,AND(F36&lt;$E$10,F36&gt;=$E$11),2,TRUE(),1),
_xlfn.IFS(AND(F36&lt;_xlfn.XLOOKUP($E$7,'Risiko-Relevanz-Analyse'!$AT$8:$AV$8,'Risiko-Relevanz-Analyse'!$AT$9:$AV$9),F36&gt;=_xlfn.XLOOKUP($E$7,'Risiko-Relevanz-Analyse'!$AT$8:$AV$8,'Risiko-Relevanz-Analyse'!$AT$10:$AV$10)),'Risiko-Relevanz-Analyse'!$AS$9,
AND(F36&lt;_xlfn.XLOOKUP($E$7,'Risiko-Relevanz-Analyse'!$AT$8:$AV$8,'Risiko-Relevanz-Analyse'!$AT$10:$AV$10),F36&gt;=_xlfn.XLOOKUP($E$7,'Risiko-Relevanz-Analyse'!$AT$8:$AV$8,'Risiko-Relevanz-Analyse'!$AT$11:$AV$11)),'Risiko-Relevanz-Analyse'!$AS$10,
AND(F36&lt;_xlfn.XLOOKUP($E$7,'Risiko-Relevanz-Analyse'!$AT$8:$AV$8,'Risiko-Relevanz-Analyse'!$AT$11:$AV$11),F36&gt;=_xlfn.XLOOKUP($E$7,'Risiko-Relevanz-Analyse'!$AT$8:$AV$8,'Risiko-Relevanz-Analyse'!$AT$12:$AV$12)),'Risiko-Relevanz-Analyse'!$AS$11,TRUE(),
'Risiko-Relevanz-Analyse'!$AS$12)),"")</f>
        <v/>
      </c>
      <c r="I36" s="55"/>
      <c r="J36" s="86" cm="1">
        <f t="array" ref="J36">_xlfn.IFS(AI36&gt;0.9,4,AI36&gt;0,3,AI36&gt;-0.9,2,TRUE,1)</f>
        <v>3</v>
      </c>
      <c r="K36" s="87" cm="1">
        <f t="array" ref="K36">_xlfn.IFS(AK36&lt;-0.8,1,AK36&lt;-0.1,2,AK36&lt;1,3,TRUE,4)</f>
        <v>2</v>
      </c>
      <c r="L36" s="88">
        <f t="shared" si="0"/>
        <v>3</v>
      </c>
      <c r="M36" s="55"/>
      <c r="N36" s="53" t="s">
        <v>84</v>
      </c>
      <c r="O36" s="23" t="s">
        <v>80</v>
      </c>
      <c r="P36" s="24" t="s">
        <v>83</v>
      </c>
      <c r="Q36" s="55"/>
      <c r="R36" s="43">
        <v>3</v>
      </c>
      <c r="S36" s="44">
        <v>3</v>
      </c>
      <c r="T36" s="44">
        <v>2</v>
      </c>
      <c r="U36" s="44">
        <v>1</v>
      </c>
      <c r="V36" s="44">
        <v>1</v>
      </c>
      <c r="W36" s="47">
        <v>3</v>
      </c>
      <c r="X36" s="43">
        <v>2</v>
      </c>
      <c r="Y36" s="44">
        <v>3</v>
      </c>
      <c r="Z36" s="45">
        <v>3</v>
      </c>
      <c r="AA36" s="50">
        <v>3</v>
      </c>
      <c r="AB36" s="43">
        <v>1</v>
      </c>
      <c r="AC36" s="44">
        <v>2</v>
      </c>
      <c r="AD36" s="44">
        <v>2</v>
      </c>
      <c r="AE36" s="44">
        <v>2</v>
      </c>
      <c r="AF36" s="45">
        <v>2</v>
      </c>
      <c r="AG36" s="74">
        <v>1</v>
      </c>
      <c r="AH36" s="103">
        <f t="shared" si="1"/>
        <v>2.0516666666666667</v>
      </c>
      <c r="AI36" s="103">
        <f t="shared" si="2"/>
        <v>0.39449869806417459</v>
      </c>
      <c r="AJ36" s="106">
        <v>1.8793160561664336E-4</v>
      </c>
      <c r="AK36" s="107">
        <f t="shared" si="3"/>
        <v>-0.55681299713434229</v>
      </c>
      <c r="AL36" s="55"/>
      <c r="AP36" s="109"/>
    </row>
    <row r="37" spans="1:42" ht="15" customHeight="1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</row>
    <row r="38" spans="1:42" ht="64" hidden="1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113" t="s">
        <v>141</v>
      </c>
      <c r="O38" s="114"/>
      <c r="P38" s="93" t="s">
        <v>142</v>
      </c>
      <c r="Q38" s="91"/>
      <c r="R38" s="89">
        <f>45%/6</f>
        <v>7.4999999999999997E-2</v>
      </c>
      <c r="S38" s="68">
        <f t="shared" ref="S38:W38" si="4">45%/6</f>
        <v>7.4999999999999997E-2</v>
      </c>
      <c r="T38" s="68">
        <f t="shared" si="4"/>
        <v>7.4999999999999997E-2</v>
      </c>
      <c r="U38" s="68">
        <f t="shared" si="4"/>
        <v>7.4999999999999997E-2</v>
      </c>
      <c r="V38" s="68">
        <f t="shared" si="4"/>
        <v>7.4999999999999997E-2</v>
      </c>
      <c r="W38" s="68">
        <f t="shared" si="4"/>
        <v>7.4999999999999997E-2</v>
      </c>
      <c r="X38" s="68">
        <f>10%/3</f>
        <v>3.3333333333333333E-2</v>
      </c>
      <c r="Y38" s="68">
        <f>10%/3</f>
        <v>3.3333333333333333E-2</v>
      </c>
      <c r="Z38" s="68">
        <f>10%/3</f>
        <v>3.3333333333333333E-2</v>
      </c>
      <c r="AA38" s="69">
        <v>0</v>
      </c>
      <c r="AB38" s="68">
        <f>45%/5</f>
        <v>0.09</v>
      </c>
      <c r="AC38" s="68">
        <f t="shared" ref="AC38:AF38" si="5">45%/5</f>
        <v>0.09</v>
      </c>
      <c r="AD38" s="68">
        <f t="shared" si="5"/>
        <v>0.09</v>
      </c>
      <c r="AE38" s="68">
        <f t="shared" si="5"/>
        <v>0.09</v>
      </c>
      <c r="AF38" s="68">
        <f t="shared" si="5"/>
        <v>0.09</v>
      </c>
      <c r="AG38" s="59">
        <f>SUM(R38:AF38)</f>
        <v>0.99999999999999989</v>
      </c>
      <c r="AH38" s="55"/>
      <c r="AI38" s="55"/>
      <c r="AJ38" s="55"/>
      <c r="AK38" s="55"/>
      <c r="AL38" s="55"/>
    </row>
    <row r="39" spans="1:42" ht="68.150000000000006" hidden="1" customHeight="1" thickBot="1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115"/>
      <c r="O39" s="116"/>
      <c r="P39" s="94" t="s">
        <v>110</v>
      </c>
      <c r="Q39" s="92"/>
      <c r="R39" s="90">
        <f>50%/6</f>
        <v>8.3333333333333329E-2</v>
      </c>
      <c r="S39" s="70">
        <f t="shared" ref="S39:W39" si="6">50%/6</f>
        <v>8.3333333333333329E-2</v>
      </c>
      <c r="T39" s="70">
        <f t="shared" si="6"/>
        <v>8.3333333333333329E-2</v>
      </c>
      <c r="U39" s="70">
        <f t="shared" si="6"/>
        <v>8.3333333333333329E-2</v>
      </c>
      <c r="V39" s="70">
        <f t="shared" si="6"/>
        <v>8.3333333333333329E-2</v>
      </c>
      <c r="W39" s="70">
        <f t="shared" si="6"/>
        <v>8.3333333333333329E-2</v>
      </c>
      <c r="X39" s="71">
        <v>0</v>
      </c>
      <c r="Y39" s="71">
        <v>0</v>
      </c>
      <c r="Z39" s="71">
        <v>0</v>
      </c>
      <c r="AA39" s="72">
        <v>0</v>
      </c>
      <c r="AB39" s="70">
        <f>50%/5</f>
        <v>0.1</v>
      </c>
      <c r="AC39" s="70">
        <f t="shared" ref="AC39:AF39" si="7">50%/5</f>
        <v>0.1</v>
      </c>
      <c r="AD39" s="70">
        <f t="shared" si="7"/>
        <v>0.1</v>
      </c>
      <c r="AE39" s="70">
        <f t="shared" si="7"/>
        <v>0.1</v>
      </c>
      <c r="AF39" s="70">
        <f t="shared" si="7"/>
        <v>0.1</v>
      </c>
      <c r="AG39" s="60">
        <f>SUM(R39:AF39)</f>
        <v>0.99999999999999989</v>
      </c>
      <c r="AH39" s="55"/>
      <c r="AI39" s="55"/>
      <c r="AJ39" s="55"/>
      <c r="AK39" s="55"/>
      <c r="AL39" s="55"/>
    </row>
    <row r="40" spans="1:42" ht="27" customHeight="1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</row>
    <row r="41" spans="1:42"/>
    <row r="42" spans="1:42"/>
    <row r="43" spans="1:42"/>
    <row r="44" spans="1:42"/>
    <row r="45" spans="1:42"/>
    <row r="46" spans="1:42"/>
    <row r="47" spans="1:42"/>
    <row r="48" spans="1:42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</sheetData>
  <mergeCells count="35">
    <mergeCell ref="R14:AF14"/>
    <mergeCell ref="N15:P15"/>
    <mergeCell ref="J15:L15"/>
    <mergeCell ref="G15:H15"/>
    <mergeCell ref="R15:W15"/>
    <mergeCell ref="X15:Z15"/>
    <mergeCell ref="A17:A21"/>
    <mergeCell ref="A22:A26"/>
    <mergeCell ref="A27:A31"/>
    <mergeCell ref="A32:A36"/>
    <mergeCell ref="B17:D17"/>
    <mergeCell ref="B18:D18"/>
    <mergeCell ref="B19:D19"/>
    <mergeCell ref="B20:D20"/>
    <mergeCell ref="B21:D21"/>
    <mergeCell ref="B22:D22"/>
    <mergeCell ref="B35:D35"/>
    <mergeCell ref="B36:D36"/>
    <mergeCell ref="B33:D33"/>
    <mergeCell ref="B34:D34"/>
    <mergeCell ref="B32:D32"/>
    <mergeCell ref="B23:D23"/>
    <mergeCell ref="AJ15:AK15"/>
    <mergeCell ref="N38:O39"/>
    <mergeCell ref="AH15:AI15"/>
    <mergeCell ref="B16:D16"/>
    <mergeCell ref="B29:D29"/>
    <mergeCell ref="B30:D30"/>
    <mergeCell ref="B31:D31"/>
    <mergeCell ref="AB15:AF15"/>
    <mergeCell ref="B24:D24"/>
    <mergeCell ref="B25:D25"/>
    <mergeCell ref="B26:D26"/>
    <mergeCell ref="B27:D27"/>
    <mergeCell ref="B28:D28"/>
  </mergeCells>
  <conditionalFormatting sqref="G10:G13">
    <cfRule type="cellIs" dxfId="30" priority="33" operator="equal">
      <formula>1</formula>
    </cfRule>
    <cfRule type="cellIs" dxfId="29" priority="34" stopIfTrue="1" operator="equal">
      <formula>2</formula>
    </cfRule>
    <cfRule type="cellIs" dxfId="28" priority="35" stopIfTrue="1" operator="equal">
      <formula>3</formula>
    </cfRule>
    <cfRule type="cellIs" dxfId="27" priority="36" stopIfTrue="1" operator="equal">
      <formula>4</formula>
    </cfRule>
  </conditionalFormatting>
  <conditionalFormatting sqref="G17:L36">
    <cfRule type="cellIs" dxfId="26" priority="45" operator="equal">
      <formula>1</formula>
    </cfRule>
    <cfRule type="cellIs" dxfId="25" priority="46" stopIfTrue="1" operator="equal">
      <formula>2</formula>
    </cfRule>
    <cfRule type="cellIs" dxfId="24" priority="47" stopIfTrue="1" operator="equal">
      <formula>3</formula>
    </cfRule>
    <cfRule type="cellIs" dxfId="23" priority="48" stopIfTrue="1" operator="equal">
      <formula>4</formula>
    </cfRule>
  </conditionalFormatting>
  <conditionalFormatting sqref="K10:K11 J12:J13 J17:L36">
    <cfRule type="cellIs" dxfId="22" priority="41" operator="equal">
      <formula>4</formula>
    </cfRule>
    <cfRule type="cellIs" dxfId="21" priority="42" operator="equal">
      <formula>3</formula>
    </cfRule>
    <cfRule type="cellIs" dxfId="20" priority="43" operator="equal">
      <formula>2</formula>
    </cfRule>
    <cfRule type="cellIs" dxfId="19" priority="44" stopIfTrue="1" operator="equal">
      <formula>1</formula>
    </cfRule>
  </conditionalFormatting>
  <conditionalFormatting sqref="R17:AF36">
    <cfRule type="cellIs" dxfId="18" priority="22" operator="equal">
      <formula>3</formula>
    </cfRule>
    <cfRule type="cellIs" dxfId="17" priority="23" operator="equal">
      <formula>2</formula>
    </cfRule>
    <cfRule type="cellIs" dxfId="16" priority="24" operator="equal">
      <formula>1</formula>
    </cfRule>
  </conditionalFormatting>
  <conditionalFormatting sqref="AA38 X39:AA39">
    <cfRule type="cellIs" dxfId="15" priority="16" operator="equal">
      <formula>3</formula>
    </cfRule>
    <cfRule type="cellIs" dxfId="14" priority="17" operator="equal">
      <formula>2</formula>
    </cfRule>
    <cfRule type="cellIs" dxfId="13" priority="18" operator="equal">
      <formula>1</formula>
    </cfRule>
  </conditionalFormatting>
  <conditionalFormatting sqref="AM34:AN36">
    <cfRule type="cellIs" dxfId="12" priority="13" operator="equal">
      <formula>3</formula>
    </cfRule>
  </conditionalFormatting>
  <conditionalFormatting sqref="AM17:AO17 AS17:AT36 AM18:AM33 AO18:AO33 AM34:AO36">
    <cfRule type="cellIs" dxfId="11" priority="9" operator="equal">
      <formula>1</formula>
    </cfRule>
    <cfRule type="cellIs" dxfId="10" priority="10" operator="equal">
      <formula>2</formula>
    </cfRule>
  </conditionalFormatting>
  <conditionalFormatting sqref="AN18:AN33">
    <cfRule type="cellIs" dxfId="9" priority="1" operator="equal">
      <formula>4</formula>
    </cfRule>
    <cfRule type="cellIs" dxfId="8" priority="2" operator="equal">
      <formula>3</formula>
    </cfRule>
    <cfRule type="cellIs" dxfId="7" priority="3" operator="equal">
      <formula>2</formula>
    </cfRule>
    <cfRule type="cellIs" dxfId="6" priority="4" stopIfTrue="1" operator="equal">
      <formula>1</formula>
    </cfRule>
    <cfRule type="cellIs" dxfId="5" priority="5" operator="equal">
      <formula>1</formula>
    </cfRule>
    <cfRule type="cellIs" dxfId="4" priority="6" stopIfTrue="1" operator="equal">
      <formula>2</formula>
    </cfRule>
    <cfRule type="cellIs" dxfId="3" priority="7" stopIfTrue="1" operator="equal">
      <formula>3</formula>
    </cfRule>
    <cfRule type="cellIs" dxfId="2" priority="8" stopIfTrue="1" operator="equal">
      <formula>4</formula>
    </cfRule>
  </conditionalFormatting>
  <conditionalFormatting sqref="AO17:AO36 AS17:AT36">
    <cfRule type="cellIs" dxfId="1" priority="11" operator="equal">
      <formula>3</formula>
    </cfRule>
    <cfRule type="containsText" dxfId="0" priority="12" operator="containsText" text="4">
      <formula>NOT(ISERROR(SEARCH("4",AO17)))</formula>
    </cfRule>
  </conditionalFormatting>
  <dataValidations count="1">
    <dataValidation type="list" allowBlank="1" showInputMessage="1" showErrorMessage="1" sqref="E7" xr:uid="{7BCBD0ED-35F9-9748-AF27-42AE6B87CCC7}">
      <formula1>_liste_spend_varianten</formula1>
    </dataValidation>
  </dataValidations>
  <pageMargins left="0.7" right="0.7" top="0.78740157499999996" bottom="0.78740157499999996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4D24B91889CE247B7CE742BC645206B" ma:contentTypeVersion="2" ma:contentTypeDescription="Ein neues Dokument erstellen." ma:contentTypeScope="" ma:versionID="c4e6d3f6b8ddcf10f2e897831a267905">
  <xsd:schema xmlns:xsd="http://www.w3.org/2001/XMLSchema" xmlns:xs="http://www.w3.org/2001/XMLSchema" xmlns:p="http://schemas.microsoft.com/office/2006/metadata/properties" xmlns:ns2="b366ce23-e4fe-4779-9399-474d7638bbe5" targetNamespace="http://schemas.microsoft.com/office/2006/metadata/properties" ma:root="true" ma:fieldsID="6f5012cca6c2028dd9ab3a64eb5060d9" ns2:_="">
    <xsd:import namespace="b366ce23-e4fe-4779-9399-474d7638bbe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6ce23-e4fe-4779-9399-474d7638bbe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0E01DC-9871-4915-8894-A4E22680D0E9}">
  <ds:schemaRefs>
    <ds:schemaRef ds:uri="http://purl.org/dc/elements/1.1/"/>
    <ds:schemaRef ds:uri="http://schemas.openxmlformats.org/package/2006/metadata/core-properties"/>
    <ds:schemaRef ds:uri="http://purl.org/dc/dcmitype/"/>
    <ds:schemaRef ds:uri="b366ce23-e4fe-4779-9399-474d7638bbe5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C64C6DB-99E1-4DCC-AF90-1FE8E75CA6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C8A6E9-442E-4255-B70B-AEF32ABD2A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66ce23-e4fe-4779-9399-474d7638bb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Risiko-Relevanz-Analyse</vt:lpstr>
      <vt:lpstr>_liste_spend_varianten</vt:lpstr>
      <vt:lpstr>_spend_relevanz_matrix</vt:lpstr>
      <vt:lpstr>_spend_relevanz_matrix_werte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Leuthold, Conrad</dc:creator>
  <cp:lastModifiedBy>Baeriswyl Kilian BAFU</cp:lastModifiedBy>
  <dcterms:created xsi:type="dcterms:W3CDTF">2025-10-24T12:48:19Z</dcterms:created>
  <dcterms:modified xsi:type="dcterms:W3CDTF">2026-09-02T13:41:34Z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d5c4f4-7a29-4385-b7a5-afbe2154ae6f_Enabled">
    <vt:lpwstr>true</vt:lpwstr>
  </property>
  <property fmtid="{D5CDD505-2E9C-101B-9397-08002B2CF9AE}" pid="3" name="MSIP_Label_b0d5c4f4-7a29-4385-b7a5-afbe2154ae6f_SetDate">
    <vt:lpwstr>2025-10-24T12:48:20Z</vt:lpwstr>
  </property>
  <property fmtid="{D5CDD505-2E9C-101B-9397-08002B2CF9AE}" pid="4" name="MSIP_Label_b0d5c4f4-7a29-4385-b7a5-afbe2154ae6f_Method">
    <vt:lpwstr>Standard</vt:lpwstr>
  </property>
  <property fmtid="{D5CDD505-2E9C-101B-9397-08002B2CF9AE}" pid="5" name="MSIP_Label_b0d5c4f4-7a29-4385-b7a5-afbe2154ae6f_Name">
    <vt:lpwstr>Confidential</vt:lpwstr>
  </property>
  <property fmtid="{D5CDD505-2E9C-101B-9397-08002B2CF9AE}" pid="6" name="MSIP_Label_b0d5c4f4-7a29-4385-b7a5-afbe2154ae6f_SiteId">
    <vt:lpwstr>2dfb2f0b-4d21-4268-9559-72926144c918</vt:lpwstr>
  </property>
  <property fmtid="{D5CDD505-2E9C-101B-9397-08002B2CF9AE}" pid="7" name="MSIP_Label_b0d5c4f4-7a29-4385-b7a5-afbe2154ae6f_ActionId">
    <vt:lpwstr>45464f5b-6168-4b1e-96a7-77dd6e0a4cc3</vt:lpwstr>
  </property>
  <property fmtid="{D5CDD505-2E9C-101B-9397-08002B2CF9AE}" pid="8" name="MSIP_Label_b0d5c4f4-7a29-4385-b7a5-afbe2154ae6f_ContentBits">
    <vt:lpwstr>0</vt:lpwstr>
  </property>
  <property fmtid="{D5CDD505-2E9C-101B-9397-08002B2CF9AE}" pid="9" name="MSIP_Label_b0d5c4f4-7a29-4385-b7a5-afbe2154ae6f_Tag">
    <vt:lpwstr>50, 3, 0, 1</vt:lpwstr>
  </property>
  <property fmtid="{D5CDD505-2E9C-101B-9397-08002B2CF9AE}" pid="10" name="ContentTypeId">
    <vt:lpwstr>0x010100C4D24B91889CE247B7CE742BC645206B</vt:lpwstr>
  </property>
  <property fmtid="{D5CDD505-2E9C-101B-9397-08002B2CF9AE}" pid="11" name="MediaServiceImageTags">
    <vt:lpwstr/>
  </property>
  <property fmtid="{D5CDD505-2E9C-101B-9397-08002B2CF9AE}" pid="12" name="MSIP_Label_aa112399-b73b-40c1-8af2-919b124b9d91_Enabled">
    <vt:lpwstr>true</vt:lpwstr>
  </property>
  <property fmtid="{D5CDD505-2E9C-101B-9397-08002B2CF9AE}" pid="13" name="MSIP_Label_aa112399-b73b-40c1-8af2-919b124b9d91_SetDate">
    <vt:lpwstr>2026-08-14T13:03:48Z</vt:lpwstr>
  </property>
  <property fmtid="{D5CDD505-2E9C-101B-9397-08002B2CF9AE}" pid="14" name="MSIP_Label_aa112399-b73b-40c1-8af2-919b124b9d91_Method">
    <vt:lpwstr>Privileged</vt:lpwstr>
  </property>
  <property fmtid="{D5CDD505-2E9C-101B-9397-08002B2CF9AE}" pid="15" name="MSIP_Label_aa112399-b73b-40c1-8af2-919b124b9d91_Name">
    <vt:lpwstr>L2</vt:lpwstr>
  </property>
  <property fmtid="{D5CDD505-2E9C-101B-9397-08002B2CF9AE}" pid="16" name="MSIP_Label_aa112399-b73b-40c1-8af2-919b124b9d91_SiteId">
    <vt:lpwstr>6ae27add-8276-4a38-88c1-3a9c1f973767</vt:lpwstr>
  </property>
  <property fmtid="{D5CDD505-2E9C-101B-9397-08002B2CF9AE}" pid="17" name="MSIP_Label_aa112399-b73b-40c1-8af2-919b124b9d91_ActionId">
    <vt:lpwstr>d707e78b-a8ef-4588-8c47-2481948c68e1</vt:lpwstr>
  </property>
  <property fmtid="{D5CDD505-2E9C-101B-9397-08002B2CF9AE}" pid="18" name="MSIP_Label_aa112399-b73b-40c1-8af2-919b124b9d91_ContentBits">
    <vt:lpwstr>0</vt:lpwstr>
  </property>
  <property fmtid="{D5CDD505-2E9C-101B-9397-08002B2CF9AE}" pid="19" name="MSIP_Label_aa112399-b73b-40c1-8af2-919b124b9d91_Tag">
    <vt:lpwstr>10, 0, 1, 1</vt:lpwstr>
  </property>
</Properties>
</file>